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IGAFLEX" sheetId="1" r:id="rId1"/>
    <sheet name="COLUMNAS" sheetId="2" r:id="rId2"/>
    <sheet name="TEORIA" sheetId="3" r:id="rId3"/>
  </sheets>
  <definedNames>
    <definedName name="\a">'VIGAFLEX'!$B$84</definedName>
    <definedName name="_Regression_Int" localSheetId="1" hidden="1">1</definedName>
    <definedName name="_Regression_Int" localSheetId="0" hidden="1">1</definedName>
    <definedName name="_xlnm.Print_Area" localSheetId="1">'COLUMNAS'!$A$2:$M$78</definedName>
    <definedName name="_xlnm.Print_Area" localSheetId="0">'VIGAFLEX'!$K$2:$Y$48</definedName>
    <definedName name="AS" localSheetId="0">'VIGAFLEX'!$C$24</definedName>
    <definedName name="AS">'COLUMNAS'!$E$20</definedName>
    <definedName name="B">'VIGAFLEX'!$E$12</definedName>
    <definedName name="B_">'COLUMNAS'!$E$39</definedName>
    <definedName name="B0">'VIGAFLEX'!$E$53</definedName>
    <definedName name="B1B">'VIGAFLEX'!$D$23</definedName>
    <definedName name="BB">'COLUMNAS'!$D$76</definedName>
    <definedName name="BP">'VIGAFLEX'!$E$40</definedName>
    <definedName name="BW">'VIGAFLEX'!$E$41</definedName>
    <definedName name="CC">'COLUMNAS'!$D$73</definedName>
    <definedName name="CS">'COLUMNAS'!$D$74</definedName>
    <definedName name="D">'VIGAFLEX'!$E$13</definedName>
    <definedName name="D_">'VIGAFLEX'!$E$29</definedName>
    <definedName name="D_X">'COLUMNAS'!$E$12</definedName>
    <definedName name="D_Y">'COLUMNAS'!$E$13</definedName>
    <definedName name="DX">'COLUMNAS'!$E$45</definedName>
    <definedName name="DY">'COLUMNAS'!$E$46</definedName>
    <definedName name="F_">'COLUMNAS'!$E$40</definedName>
    <definedName name="FC">'VIGAFLEX'!$E$10</definedName>
    <definedName name="FC_">'COLUMNAS'!$E$8</definedName>
    <definedName name="FMAX">'VIGAFLEX'!$E$15</definedName>
    <definedName name="FY" localSheetId="0">'VIGAFLEX'!$E$11</definedName>
    <definedName name="FY">'COLUMNAS'!$E$9</definedName>
    <definedName name="Imprimir_área_IM" localSheetId="1">'COLUMNAS'!$J$6:$L$21</definedName>
    <definedName name="Imprimir_área_IM" localSheetId="0">'VIGAFLEX'!$E$2:$Y$48</definedName>
    <definedName name="Imprimir_títulos_IM" localSheetId="0">'VIGAFLEX'!$B:$D</definedName>
    <definedName name="LX">'COLUMNAS'!$E$10</definedName>
    <definedName name="LY">'COLUMNAS'!$E$11</definedName>
    <definedName name="MMAX">'VIGAFLEX'!$E$31</definedName>
    <definedName name="MU">'VIGAFLEX'!$E$14</definedName>
    <definedName name="MX">'COLUMNAS'!$E$16</definedName>
    <definedName name="MX0">'COLUMNAS'!$H$58</definedName>
    <definedName name="MY">'COLUMNAS'!$E$15</definedName>
    <definedName name="MY0">'COLUMNAS'!$H$69</definedName>
    <definedName name="P">'COLUMNAS'!$E$42</definedName>
    <definedName name="PB">'VIGAFLEX'!$E$23</definedName>
    <definedName name="S">'VIGAFLEX'!$C$70</definedName>
    <definedName name="T">'VIGAFLEX'!$E$42</definedName>
    <definedName name="_xlnm.Print_Titles" localSheetId="0">'VIGAFLEX'!$B:$D</definedName>
    <definedName name="VC">'VIGAFLEX'!$E$63</definedName>
    <definedName name="VTC">'VIGAFLEX'!$E$65</definedName>
    <definedName name="VTU">'VIGAFLEX'!$E$66</definedName>
    <definedName name="VU">'VIGAFLEX'!$E$64</definedName>
    <definedName name="X">'COLUMNAS'!$E$18</definedName>
    <definedName name="Y">'COLUMNAS'!$E$19</definedName>
    <definedName name="Z_84CEBB58_EE6A_4ACC_A40F_8318C7C22AAE_.wvu.PrintArea" localSheetId="1" hidden="1">'COLUMNAS'!$J$6:$L$21</definedName>
    <definedName name="Z_84CEBB58_EE6A_4ACC_A40F_8318C7C22AAE_.wvu.PrintArea" localSheetId="0" hidden="1">'VIGAFLEX'!$E$2:$Y$48</definedName>
    <definedName name="Z_84CEBB58_EE6A_4ACC_A40F_8318C7C22AAE_.wvu.PrintTitles" localSheetId="0" hidden="1">'VIGAFLEX'!$B:$D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pc0</author>
  </authors>
  <commentList>
    <comment ref="E21" authorId="0">
      <text>
        <r>
          <rPr>
            <b/>
            <sz val="8"/>
            <rFont val="Tahoma"/>
            <family val="0"/>
          </rPr>
          <t>As=p b d 
p=f'c/fy  (1-RAIZ(1-2.36 K))/1.18 
K=Mu/(Ø f'c b d²)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El sufijo b significa balanceado; 
As max=0.5 As b (por sismo)
 Asb= pb . B . d  </t>
        </r>
      </text>
    </comment>
    <comment ref="D23" authorId="0">
      <text>
        <r>
          <rPr>
            <b/>
            <sz val="8"/>
            <rFont val="Tahoma"/>
            <family val="0"/>
          </rPr>
          <t>para f'c=280 kg/cm², B1=0.85; 
para f'c&gt;280 kg/cm²1=1.05-f'c/14</t>
        </r>
      </text>
    </comment>
    <comment ref="E23" authorId="0">
      <text>
        <r>
          <rPr>
            <b/>
            <sz val="8"/>
            <rFont val="Tahoma"/>
            <family val="0"/>
          </rPr>
          <t>pb=0.85 f'c B1 6000/fy/(6000+fy)</t>
        </r>
      </text>
    </comment>
    <comment ref="E31" authorId="0">
      <text>
        <r>
          <rPr>
            <b/>
            <sz val="8"/>
            <rFont val="Tahoma"/>
            <family val="0"/>
          </rPr>
          <t>Momento max, para F max, escogido en cuadro superior</t>
        </r>
      </text>
    </comment>
    <comment ref="D36" authorId="0">
      <text>
        <r>
          <rPr>
            <b/>
            <sz val="8"/>
            <rFont val="Tahoma"/>
            <family val="0"/>
          </rPr>
          <t>f's=fy</t>
        </r>
      </text>
    </comment>
    <comment ref="E36" authorId="0">
      <text>
        <r>
          <rPr>
            <b/>
            <sz val="8"/>
            <rFont val="Tahoma"/>
            <family val="0"/>
          </rPr>
          <t>pb=pb+p'.f's/fy</t>
        </r>
      </text>
    </comment>
    <comment ref="C59" authorId="1">
      <text>
        <r>
          <rPr>
            <b/>
            <sz val="8"/>
            <rFont val="Tahoma"/>
            <family val="0"/>
          </rPr>
          <t>La sección T se la divide en rectángulos.  
Donde: Sum(X2 Y)
 x=dimension menor en la zona rectangular de una seccion transversal;  y=dimension mayor de la zona rectangular de una seccion transversal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0"/>
          </rPr>
          <t>valor de la Carga axial:
+ significa Compresión
- significa Tensión</t>
        </r>
      </text>
    </comment>
    <comment ref="G70" authorId="0">
      <text>
        <r>
          <rPr>
            <b/>
            <sz val="8"/>
            <rFont val="Tahoma"/>
            <family val="0"/>
          </rPr>
          <t>Diámetro en milímetros de un estribo de dos ramas, calculado con la combinación de solicitaciones escogidas, a ser colocado al espaciamiento impuesto</t>
        </r>
      </text>
    </comment>
    <comment ref="E28" authorId="0">
      <text>
        <r>
          <rPr>
            <b/>
            <sz val="8"/>
            <rFont val="Tahoma"/>
            <family val="0"/>
          </rPr>
          <t>dar un número comprendido entre 0 y 0.75 si es por flexión únicamente, y de 0 a 0.5 si se considera las acciones de sismo.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As min=14/Fy  .   b . d 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F10" authorId="0">
      <text>
        <r>
          <rPr>
            <b/>
            <sz val="8"/>
            <rFont val="Tahoma"/>
            <family val="0"/>
          </rPr>
          <t>Relación nudo SUPERIOR = Suma Rigideces Colum / Suma Rigid. Vigas en el nudo superior; (Rig.=4.E.I/luz para sección constante) (ACI/71, Comentarios, Cap. 10.11, pag. 100-101-----Ultimate Strength Design Handbook, Special Publication No.17A del ACI, pag 212, 217-220; problems #20,#4)</t>
        </r>
      </text>
    </comment>
    <comment ref="F11" authorId="0">
      <text>
        <r>
          <rPr>
            <b/>
            <sz val="8"/>
            <rFont val="Tahoma"/>
            <family val="0"/>
          </rPr>
          <t>Relación nudo INFERIOR = Suma Rigideces Colum / Suma Rigid. Vigas en el nudo inferior (Rig.=4.E.I/luz para sección constante) (ACI/71, Comentarios, Cap. 10.11, pag. 100-101-----Ultimate Strength Design Handbook, Special Publication No.17A del ACI, pag 212, 217-220; problems #20,#4)</t>
        </r>
      </text>
    </comment>
    <comment ref="F12" authorId="0">
      <text>
        <r>
          <rPr>
            <b/>
            <sz val="8"/>
            <rFont val="Tahoma"/>
            <family val="0"/>
          </rPr>
          <t>lu[cm]=long. libre de pandeo.  Es la relación entre los puntos de inflexión de la deformada a la long. total del elemento; para extremos empotrados el factor es aprox. 0.7, para extremos articulados es 1.0, para voladizo con extremo empotrado es 2.0, etc.   (ACI/71, Secc. 10.11.1, pag. 88---------Ultimate Strength Design Handbook, Special Publication No.17A del ACI, pag 212, 217-220; problems #20,#4)</t>
        </r>
      </text>
    </comment>
    <comment ref="F13" authorId="0">
      <text>
        <r>
          <rPr>
            <b/>
            <sz val="8"/>
            <rFont val="Tahoma"/>
            <family val="0"/>
          </rPr>
          <t>Esta arriostrada lateralmente la columna, contestar  Si o No.</t>
        </r>
      </text>
    </comment>
    <comment ref="F14" authorId="0">
      <text>
        <r>
          <rPr>
            <b/>
            <sz val="8"/>
            <rFont val="Tahoma"/>
            <family val="0"/>
          </rPr>
          <t>Bd=relacion entre el momento máximo debido a Carga Muerta y el momento máximo debido a carga total (siempre positivo)</t>
        </r>
      </text>
    </comment>
    <comment ref="F15" authorId="0">
      <text>
        <r>
          <rPr>
            <b/>
            <sz val="8"/>
            <rFont val="Tahoma"/>
            <family val="0"/>
          </rPr>
          <t>Cm= factor, (ver ACI/71, secc.10.11.5, ec. 10-9, pag 88-89--------Ultimate Strength Design Handbook, Special Publication No. 17A del ACI, tabla 3.1, 3.2, pag 170)</t>
        </r>
      </text>
    </comment>
    <comment ref="F16" authorId="0">
      <text>
        <r>
          <rPr>
            <b/>
            <sz val="8"/>
            <rFont val="Tahoma"/>
            <family val="0"/>
          </rPr>
          <t>k=factor de long. efect. en miembros en compresion (para determinarlo, ACI/71, Comentarios, Cap. 10.11, pag. 100-101-----Ultimate Strength Design Handbook, Special Publication No.17A del ACI, pag 170-171, 217-220; problems #20,#4)</t>
        </r>
      </text>
    </comment>
    <comment ref="F19" authorId="0">
      <text>
        <r>
          <rPr>
            <b/>
            <sz val="8"/>
            <rFont val="Tahoma"/>
            <family val="0"/>
          </rPr>
          <t>d=Factor de amplificacion de momentos (ACI/71, secc.10.11.5, ec. 10-4, 10-5, pag 88-89)</t>
        </r>
      </text>
    </comment>
    <comment ref="E20" authorId="0">
      <text>
        <r>
          <rPr>
            <b/>
            <sz val="8"/>
            <rFont val="Tahoma"/>
            <family val="0"/>
          </rPr>
          <t>Para diseño en una o dos direcciones simultaneas, imponerse valores de As, hasta que "la diferencia de momentos" dada en el cuadro inferior este comprendida entre +/- 4%, la casilla de "disminuir la seccion de acero a", es una ayuda para imponerse As</t>
        </r>
      </text>
    </comment>
  </commentList>
</comments>
</file>

<file path=xl/sharedStrings.xml><?xml version="1.0" encoding="utf-8"?>
<sst xmlns="http://schemas.openxmlformats.org/spreadsheetml/2006/main" count="550" uniqueCount="425">
  <si>
    <t>DESCRIPCION</t>
  </si>
  <si>
    <t>Resistencia del Horm.</t>
  </si>
  <si>
    <t>Lim. fluencia del hierro</t>
  </si>
  <si>
    <t>Dimension en   X</t>
  </si>
  <si>
    <t>Dimension en   Y</t>
  </si>
  <si>
    <t>Recubrimiento en  X</t>
  </si>
  <si>
    <t>Recubrimiento en  Y</t>
  </si>
  <si>
    <t>Carga axial</t>
  </si>
  <si>
    <t>% hierro en caras Y</t>
  </si>
  <si>
    <t>% hierro en caras X</t>
  </si>
  <si>
    <t>RESULTADOS EN UNA DIRECCION</t>
  </si>
  <si>
    <t>Mto.  X-X (sentido Y), Carga</t>
  </si>
  <si>
    <t>Mto.  Y-Y (sentido X), Carga</t>
  </si>
  <si>
    <t>EFECTOS DE ESBELTEZ</t>
  </si>
  <si>
    <t>@PI/K (Calculado)</t>
  </si>
  <si>
    <t>k*lu/r; (calculado, para seccion cuadrada, r=0.3*t)</t>
  </si>
  <si>
    <t>CALCULOS TRANSITORIOS</t>
  </si>
  <si>
    <t>Factores:</t>
  </si>
  <si>
    <t>Factor=0.50 (no cambiar)</t>
  </si>
  <si>
    <t>(utilizado en el proceso)</t>
  </si>
  <si>
    <t>Factor B'</t>
  </si>
  <si>
    <t>Factor fi</t>
  </si>
  <si>
    <t>Transformacion de unidades de los datos</t>
  </si>
  <si>
    <t>Peralte efectivo x-x</t>
  </si>
  <si>
    <t>Peralte efectivo y-y</t>
  </si>
  <si>
    <t>CASOS: 1) al 4)</t>
  </si>
  <si>
    <t>Mto.  X-X (sentido Y)</t>
  </si>
  <si>
    <t>1) y'&gt;=(c-d');y'&lt;(d-c)</t>
  </si>
  <si>
    <t>2) y'&lt;(c-d');y'&gt;=(d-c)</t>
  </si>
  <si>
    <t>3) y'&lt;(c-d');y'&lt;(d-c)</t>
  </si>
  <si>
    <t>4) y'&gt;=(c-d');y'&gt;=(d-c)</t>
  </si>
  <si>
    <t>30*As*[100-x]/(d-d'),As*fy*[100-x]/(d-d'),As*[x]</t>
  </si>
  <si>
    <t xml:space="preserve">0.85*B' f'c b </t>
  </si>
  <si>
    <t>Mto.  Y-Y (sentido X)</t>
  </si>
  <si>
    <t>1) y'&gt;(c-d');y'(d-c)</t>
  </si>
  <si>
    <t>2) y'&lt;(c-d');y'&gt;(d-c)</t>
  </si>
  <si>
    <t>4) y'&gt;(c-d');y'&gt;(d-c)</t>
  </si>
  <si>
    <t>30*As*[100-y]/(d-d'),As*fy*[100-y]/(d-d'),As*[y]</t>
  </si>
  <si>
    <t>Utilizando la SEGUNDA FORMULA  DE BRESLER (METODO BIAXIAL SIMPLIFICADO)</t>
  </si>
  <si>
    <t>Cc</t>
  </si>
  <si>
    <t>Cs</t>
  </si>
  <si>
    <t>B25</t>
  </si>
  <si>
    <t>Bb</t>
  </si>
  <si>
    <t>fy/Es = def. unitario permisible en el acero</t>
  </si>
  <si>
    <t>SIMBOLO</t>
  </si>
  <si>
    <t>d'x =</t>
  </si>
  <si>
    <t>d'y =</t>
  </si>
  <si>
    <t>Pu =</t>
  </si>
  <si>
    <t>x =</t>
  </si>
  <si>
    <t>Calc. y =</t>
  </si>
  <si>
    <t>As =</t>
  </si>
  <si>
    <t>Sentido X</t>
  </si>
  <si>
    <t>Fact. =</t>
  </si>
  <si>
    <t>B' =</t>
  </si>
  <si>
    <t>F =</t>
  </si>
  <si>
    <t>P =</t>
  </si>
  <si>
    <t>My-y =</t>
  </si>
  <si>
    <t>Mx-x =</t>
  </si>
  <si>
    <t>dx =</t>
  </si>
  <si>
    <t>dy =</t>
  </si>
  <si>
    <t>fact. A</t>
  </si>
  <si>
    <t>Calculado</t>
  </si>
  <si>
    <t>UNIDAD</t>
  </si>
  <si>
    <t>[kg/cm2]</t>
  </si>
  <si>
    <t>[cm]</t>
  </si>
  <si>
    <t>[t]</t>
  </si>
  <si>
    <t>[t-m]</t>
  </si>
  <si>
    <t>%</t>
  </si>
  <si>
    <t>[cm2]</t>
  </si>
  <si>
    <t>Mto.[t-m]</t>
  </si>
  <si>
    <t>Sentido Y</t>
  </si>
  <si>
    <t>Impuesto</t>
  </si>
  <si>
    <t>fact. B</t>
  </si>
  <si>
    <t>DISENO BIAXIAL</t>
  </si>
  <si>
    <t>VALORES</t>
  </si>
  <si>
    <t>Cga.[t]</t>
  </si>
  <si>
    <t>fact. C</t>
  </si>
  <si>
    <t>RESULTADO</t>
  </si>
  <si>
    <t>CONSIDERAR ESBELTEZ   (S/N)?</t>
  </si>
  <si>
    <t>DATOS DE ESBELTEZ</t>
  </si>
  <si>
    <t>Relac.SUP=Sum.Rig.colum/Sum.Rig.vigas, nudo superior; (Rig.=4.E.I/luz para seccion constante) (ACI/71, Comentarios, Cap. 10.11, pag. 100-101-----Ultimate Strength Design Handbook, Special Publication No.17A del ACI, pag 212, 217-220; problems #20,#4)</t>
  </si>
  <si>
    <t>Relac.INF=Sum.Rig.colum/Sum.Rig.vigas, nudo superior; (Rig.=4.E.I/luz para seccion constante) (ACI/71, Comentarios, Cap. 10.11, pag. 100-101-----Ultimate Strength Design Handbook, Special Publication No.17A del ACI, pag 212, 217-220; problems #20,#4)</t>
  </si>
  <si>
    <t>lu[cm]=long. libre de pandeo (ACI/71, Secc. 10.11.1, pag. 88---------Ultimate Strength Design Handbook, Special Publication No.17A del ACI, pag 212, 217-220; problems #20,#4)</t>
  </si>
  <si>
    <t>Col. arriostr.  (S/N); lateralmente</t>
  </si>
  <si>
    <t>Bd=relacion entre el momento maximo debido a CM y el momento maximo debido a carga total (siempre positivo)</t>
  </si>
  <si>
    <t>k=factor de long. efect. en miembros en compresion (para determinarlo, ACI/71, Comentarios, Cap. 10.11, pag. 100-101-----Ultimate Strength Design Handbook, Special Publication No.17A del ACI, pag 170-171, 217-220; problems #20,#4)</t>
  </si>
  <si>
    <t>Ecuacion de k=0, debe aproximarse a cero</t>
  </si>
  <si>
    <t>Estado del factor k</t>
  </si>
  <si>
    <t>d=Factor de amplificacion de momentos (ACI/71, secc.10.11.5, ec. 10-4, 10-5, pag 88-89)</t>
  </si>
  <si>
    <t xml:space="preserve">       RESULTADO PARA ACCION BIAXIAL</t>
  </si>
  <si>
    <t xml:space="preserve">        ( METODO BIAXIAL SIMPLIFICADO)</t>
  </si>
  <si>
    <t>c=a*B'</t>
  </si>
  <si>
    <t xml:space="preserve">Mxo o Myo, calculado con con la </t>
  </si>
  <si>
    <t xml:space="preserve">      formula de Bresler</t>
  </si>
  <si>
    <t>LA DIFERENCIA DE MOMENTOS ES DEL</t>
  </si>
  <si>
    <t>SENTIDO X</t>
  </si>
  <si>
    <t>N</t>
  </si>
  <si>
    <t>y'</t>
  </si>
  <si>
    <t>SENTIDO Y</t>
  </si>
  <si>
    <t>Mu [t-m] (momento maximo resistido por la seccion)</t>
  </si>
  <si>
    <t>dato</t>
  </si>
  <si>
    <t>calculado</t>
  </si>
  <si>
    <t>estado</t>
  </si>
  <si>
    <t>resultado</t>
  </si>
  <si>
    <t>Pu [t] (carga)</t>
  </si>
  <si>
    <t>AS</t>
  </si>
  <si>
    <t>B'</t>
  </si>
  <si>
    <t>BB</t>
  </si>
  <si>
    <t>CC</t>
  </si>
  <si>
    <t>CS</t>
  </si>
  <si>
    <t>D'X</t>
  </si>
  <si>
    <t>D'Y</t>
  </si>
  <si>
    <t>DX</t>
  </si>
  <si>
    <t>DY</t>
  </si>
  <si>
    <t>F</t>
  </si>
  <si>
    <t>FC</t>
  </si>
  <si>
    <t>FY</t>
  </si>
  <si>
    <t>LX</t>
  </si>
  <si>
    <t>LY</t>
  </si>
  <si>
    <t>MX</t>
  </si>
  <si>
    <t>MX0</t>
  </si>
  <si>
    <t>MY</t>
  </si>
  <si>
    <t>MY0</t>
  </si>
  <si>
    <t>P</t>
  </si>
  <si>
    <t>X</t>
  </si>
  <si>
    <t>Y</t>
  </si>
  <si>
    <t>A:D17</t>
  </si>
  <si>
    <t>A:D35</t>
  </si>
  <si>
    <t>A:C72</t>
  </si>
  <si>
    <t>A:C69</t>
  </si>
  <si>
    <t>A:C70</t>
  </si>
  <si>
    <t>A:D9</t>
  </si>
  <si>
    <t>A:D10</t>
  </si>
  <si>
    <t>A:D41</t>
  </si>
  <si>
    <t>A:D42</t>
  </si>
  <si>
    <t>A:D36</t>
  </si>
  <si>
    <t>A:D5</t>
  </si>
  <si>
    <t>A:D6</t>
  </si>
  <si>
    <t>A:D7</t>
  </si>
  <si>
    <t>A:D8</t>
  </si>
  <si>
    <t>A:D13</t>
  </si>
  <si>
    <t>A:G54</t>
  </si>
  <si>
    <t>A:D12</t>
  </si>
  <si>
    <t>A:G65</t>
  </si>
  <si>
    <t>A:D38</t>
  </si>
  <si>
    <t>A:D15</t>
  </si>
  <si>
    <t>A:D16</t>
  </si>
  <si>
    <t>DISTRIBUCION DEL HIERRO EN LAS CARAS:  ( %x + %y =100 )</t>
  </si>
  <si>
    <t>f'c  =</t>
  </si>
  <si>
    <t>fy   =</t>
  </si>
  <si>
    <t>Lx  =</t>
  </si>
  <si>
    <t>Ly  =</t>
  </si>
  <si>
    <t>Colores Guias:</t>
  </si>
  <si>
    <t>ENCABEZADO DE LOS DATOS NECESARIOS con azul oscuro</t>
  </si>
  <si>
    <t>DATOS NECESARIOS con verde</t>
  </si>
  <si>
    <t>CÁLCULOS con plomo</t>
  </si>
  <si>
    <t>RESULTADOS con rojo oscuro</t>
  </si>
  <si>
    <t>COMENTARIOS con rojo</t>
  </si>
  <si>
    <t>Cm= Factor,  (ver ACI/71, secc.10.11.5, ec. 10-9, pag 88-89--------Ultimate Strength Design Handbook, Special Publication No. 17A del ACI, tabla 3.1, 3.2, pag 170)</t>
  </si>
  <si>
    <t>DISEÑO EN SENTIDO Y</t>
  </si>
  <si>
    <t>DISEÑO EN SENTIDO X</t>
  </si>
  <si>
    <t xml:space="preserve"> DATOS GENERALES</t>
  </si>
  <si>
    <t>Momento y-y de diseño</t>
  </si>
  <si>
    <t>Momento x-x de diseño</t>
  </si>
  <si>
    <t>Mu y-y =</t>
  </si>
  <si>
    <t>Mu x-x =</t>
  </si>
  <si>
    <t>Mto.  (vector X)</t>
  </si>
  <si>
    <t>Mto.  (vector Y)</t>
  </si>
  <si>
    <t>DISEÑO POR CARGA AXIAL Y FLEXIÓN BIAXIAL DE COLUMNAS DE HºAº</t>
  </si>
  <si>
    <t>Para columnas rectangulares, comprueba la sección de acero, tomando en cuenta los efectos de amplificación</t>
  </si>
  <si>
    <t xml:space="preserve">de momentos por esbeltez, y diferentes concentraciones de hierro en las caras. </t>
  </si>
  <si>
    <t>Acero impuesto, (para diseno biaxial, imponer valores de As, hasta que "la diferencia de momentos" dada en el cuadro inferior este comprendida entre +/- 4%, la casilla de "disminuir la seccion de acero a", es una ayuda para imponerse As)</t>
  </si>
  <si>
    <t>Mto.  X-X (vector Y), Carga</t>
  </si>
  <si>
    <t>Mto.  Y-Y (vector X), Carga</t>
  </si>
  <si>
    <t>Es = def. unitario del acero en tensión.</t>
  </si>
  <si>
    <t>Ecu = def. unitario permisible en el hormigón</t>
  </si>
  <si>
    <t xml:space="preserve">y = distancia desde el eje neutro al centro de gravedad de la sección de acero   </t>
  </si>
  <si>
    <t>Fs1 = fuerza en comprensión del acero vertical que aun no ha alcanzado la fluencia</t>
  </si>
  <si>
    <t>Fs2 = fuerza en comprensión del acero vertical que ha alcanzado la fluencia</t>
  </si>
  <si>
    <t>Ts1 = fuerza en tensión del acero vertical que aun no alcanzado la fluencia</t>
  </si>
  <si>
    <t>Ts2 = fuerza en tensión del acero vertical que ha alcanzado la fluencia</t>
  </si>
  <si>
    <t>T = fuerza en tensión del acero horizontal</t>
  </si>
  <si>
    <t>Cs = fuerza en comprensión del acero horizontal</t>
  </si>
  <si>
    <t>Cc = fuerza en comprensión tomada por el hormigón</t>
  </si>
  <si>
    <t>d' = distancia desde el borde de la columna al centro del acero</t>
  </si>
  <si>
    <t>E's = def. unitario del acero en comprensión</t>
  </si>
  <si>
    <t>c = distancia del eje neutro a la cara de la columna</t>
  </si>
  <si>
    <t>Imbabura-Ecuador</t>
  </si>
  <si>
    <t>Porcentaje de acero=</t>
  </si>
  <si>
    <t>Ver teoría y forma de usar el programa en la hoja TEORIA Y USO</t>
  </si>
  <si>
    <t>DATO   o</t>
  </si>
  <si>
    <t>TIPO:</t>
  </si>
  <si>
    <t>COMENTARIOS</t>
  </si>
  <si>
    <t>DATOS GENERALES:</t>
  </si>
  <si>
    <t>Ancho de viga    "b" o "bw"</t>
  </si>
  <si>
    <t>b   =</t>
  </si>
  <si>
    <t>En vigas "T",  Asmin se calcula con bw y no con b</t>
  </si>
  <si>
    <t>Peralte efectivo  "d"</t>
  </si>
  <si>
    <t>d   =</t>
  </si>
  <si>
    <t>Factor max, (no cambiar)</t>
  </si>
  <si>
    <t>Fmax=</t>
  </si>
  <si>
    <t xml:space="preserve">  Este factor se aplica en pb</t>
  </si>
  <si>
    <t xml:space="preserve">  Para sismo, Fmax &lt;= 0.5</t>
  </si>
  <si>
    <t>VIGA SIMPLE:</t>
  </si>
  <si>
    <t>RESULTADOS:</t>
  </si>
  <si>
    <t xml:space="preserve">  Datos: f'c,fy,b,d,Mu, se dan en Datos Generales</t>
  </si>
  <si>
    <t xml:space="preserve">As min </t>
  </si>
  <si>
    <t>As tensión</t>
  </si>
  <si>
    <t>Resultado</t>
  </si>
  <si>
    <t>As max (sismo &lt;0.5 As b)</t>
  </si>
  <si>
    <t>Factor B1; pb</t>
  </si>
  <si>
    <t>Provisional=</t>
  </si>
  <si>
    <t>Para refuerzo As en [cm2]=</t>
  </si>
  <si>
    <t>, Mmax=</t>
  </si>
  <si>
    <t xml:space="preserve">    f'c,fy,b,d se dan en datos generales</t>
  </si>
  <si>
    <t>VIGA DOBLEMENTE ARMADA:</t>
  </si>
  <si>
    <t>Método por tanteos, para lo cual escoger p max (&lt; 0.5)</t>
  </si>
  <si>
    <t>DATOS ADICIONALES:</t>
  </si>
  <si>
    <t>Datos:   f'c, fy, b, d  se dan en datos generales</t>
  </si>
  <si>
    <t>Escoger p max (&lt;0.5, sismo)</t>
  </si>
  <si>
    <t>[s/u]</t>
  </si>
  <si>
    <t>Peralte compresion   "d'"</t>
  </si>
  <si>
    <t>d'=</t>
  </si>
  <si>
    <t>M max, para  F max</t>
  </si>
  <si>
    <t xml:space="preserve">  Pasado este valor es DOBL. ARMADA</t>
  </si>
  <si>
    <t>As min</t>
  </si>
  <si>
    <t>As tensión =</t>
  </si>
  <si>
    <t>A's compresión =</t>
  </si>
  <si>
    <t>As max  (sismo &lt;0.5 As b)</t>
  </si>
  <si>
    <t>f's; pb</t>
  </si>
  <si>
    <t>Provisional</t>
  </si>
  <si>
    <t>VIGA "T":</t>
  </si>
  <si>
    <t>Los datos de ( f'c, fy, d ) se dan</t>
  </si>
  <si>
    <t>Ancho del alma     "bw"</t>
  </si>
  <si>
    <t>bw=</t>
  </si>
  <si>
    <t>en los datos generales</t>
  </si>
  <si>
    <t>Espesor del patin   "t"</t>
  </si>
  <si>
    <t>t=</t>
  </si>
  <si>
    <t>Mom. resistido por el patin</t>
  </si>
  <si>
    <t>As</t>
  </si>
  <si>
    <t>DISENO DE VIGAS POR CORTANTE CON O SIN TORSION:</t>
  </si>
  <si>
    <t>Calcular Vu y Vtu a "d" de la cara de la columna</t>
  </si>
  <si>
    <t>Fuerza Cortante</t>
  </si>
  <si>
    <t>Vu=</t>
  </si>
  <si>
    <t>Los datos ( f'c, fy, d ) se dan en los datos generales</t>
  </si>
  <si>
    <t>Ancho de la viga "b" o "bw"=</t>
  </si>
  <si>
    <t>b o bw=</t>
  </si>
  <si>
    <t>Otros datos si existen:</t>
  </si>
  <si>
    <t>Carga axial (+ Compresión, - Tensión)</t>
  </si>
  <si>
    <t>Nu=</t>
  </si>
  <si>
    <t>Area de la sección</t>
  </si>
  <si>
    <t>Ag=</t>
  </si>
  <si>
    <t>Momento Torsionante</t>
  </si>
  <si>
    <t>Tu=</t>
  </si>
  <si>
    <t>Sumat. rectangulos sección</t>
  </si>
  <si>
    <t>Debe ser la menor sumatoria</t>
  </si>
  <si>
    <t>Dim.menor estribo cerrado</t>
  </si>
  <si>
    <t>x1=</t>
  </si>
  <si>
    <t>- medido centro a centro</t>
  </si>
  <si>
    <t>Dim. mayor estribo cerrado</t>
  </si>
  <si>
    <t>y1=</t>
  </si>
  <si>
    <t>CALCULOS:</t>
  </si>
  <si>
    <t>vc=0.53.sqr(f'c)...</t>
  </si>
  <si>
    <t>Vu, esf. ultimo (viga rect.)=</t>
  </si>
  <si>
    <t>vtc=0.63.sqr(f'c)...</t>
  </si>
  <si>
    <t>Vtu, Esf. ult. de torsion=</t>
  </si>
  <si>
    <t>(1+0.0285 Nu/Ag),vu/vtu,vtu/vu</t>
  </si>
  <si>
    <t>Utilizado</t>
  </si>
  <si>
    <t>Av/(2.S); At/S</t>
  </si>
  <si>
    <t>Con un espac. entre estr.de S[cm] =</t>
  </si>
  <si>
    <t>, el diám.de estribo (2 ramas) DEBE SER MAYOR A:</t>
  </si>
  <si>
    <t>Espaciamiento máx Smax =</t>
  </si>
  <si>
    <t>Diámetro mínimo =</t>
  </si>
  <si>
    <t>[mm]</t>
  </si>
  <si>
    <r>
      <t>f '</t>
    </r>
    <r>
      <rPr>
        <b/>
        <vertAlign val="subscript"/>
        <sz val="16"/>
        <color indexed="18"/>
        <rFont val="Arial"/>
        <family val="2"/>
      </rPr>
      <t>c</t>
    </r>
    <r>
      <rPr>
        <b/>
        <sz val="16"/>
        <color indexed="18"/>
        <rFont val="Arial"/>
        <family val="2"/>
      </rPr>
      <t xml:space="preserve"> =</t>
    </r>
  </si>
  <si>
    <r>
      <t>[kg/cm</t>
    </r>
    <r>
      <rPr>
        <b/>
        <vertAlign val="superscript"/>
        <sz val="17"/>
        <color indexed="18"/>
        <rFont val="Arial Narrow"/>
        <family val="2"/>
      </rPr>
      <t>2</t>
    </r>
    <r>
      <rPr>
        <b/>
        <sz val="17"/>
        <color indexed="18"/>
        <rFont val="Arial Narrow"/>
        <family val="2"/>
      </rPr>
      <t>]</t>
    </r>
  </si>
  <si>
    <r>
      <t>f</t>
    </r>
    <r>
      <rPr>
        <b/>
        <vertAlign val="subscript"/>
        <sz val="16"/>
        <color indexed="18"/>
        <rFont val="Arial"/>
        <family val="2"/>
      </rPr>
      <t xml:space="preserve">y  </t>
    </r>
    <r>
      <rPr>
        <b/>
        <sz val="16"/>
        <color indexed="18"/>
        <rFont val="Arial"/>
        <family val="2"/>
      </rPr>
      <t xml:space="preserve"> =</t>
    </r>
  </si>
  <si>
    <r>
      <t>Momento de diseno "M</t>
    </r>
    <r>
      <rPr>
        <b/>
        <i/>
        <vertAlign val="subscript"/>
        <sz val="14"/>
        <color indexed="18"/>
        <rFont val="Arial"/>
        <family val="2"/>
      </rPr>
      <t>u</t>
    </r>
    <r>
      <rPr>
        <b/>
        <i/>
        <sz val="14"/>
        <color indexed="18"/>
        <rFont val="Arial"/>
        <family val="2"/>
      </rPr>
      <t>"</t>
    </r>
  </si>
  <si>
    <r>
      <t>M</t>
    </r>
    <r>
      <rPr>
        <b/>
        <vertAlign val="subscript"/>
        <sz val="16"/>
        <color indexed="18"/>
        <rFont val="Arial"/>
        <family val="2"/>
      </rPr>
      <t>u</t>
    </r>
    <r>
      <rPr>
        <b/>
        <sz val="16"/>
        <color indexed="18"/>
        <rFont val="Arial"/>
        <family val="2"/>
      </rPr>
      <t xml:space="preserve"> =</t>
    </r>
  </si>
  <si>
    <r>
      <t xml:space="preserve">p </t>
    </r>
    <r>
      <rPr>
        <b/>
        <sz val="11"/>
        <color indexed="18"/>
        <rFont val="Arial"/>
        <family val="2"/>
      </rPr>
      <t>max</t>
    </r>
    <r>
      <rPr>
        <b/>
        <sz val="16"/>
        <color indexed="18"/>
        <rFont val="Arial"/>
        <family val="2"/>
      </rPr>
      <t>=</t>
    </r>
  </si>
  <si>
    <r>
      <t>Ancho del patin     "b</t>
    </r>
    <r>
      <rPr>
        <b/>
        <i/>
        <vertAlign val="subscript"/>
        <sz val="14"/>
        <color indexed="18"/>
        <rFont val="Arial"/>
        <family val="2"/>
      </rPr>
      <t>p</t>
    </r>
    <r>
      <rPr>
        <b/>
        <i/>
        <sz val="14"/>
        <color indexed="18"/>
        <rFont val="Arial"/>
        <family val="2"/>
      </rPr>
      <t>"</t>
    </r>
  </si>
  <si>
    <r>
      <t>b</t>
    </r>
    <r>
      <rPr>
        <b/>
        <vertAlign val="subscript"/>
        <sz val="16"/>
        <color indexed="18"/>
        <rFont val="Arial"/>
        <family val="2"/>
      </rPr>
      <t>p</t>
    </r>
    <r>
      <rPr>
        <b/>
        <sz val="16"/>
        <color indexed="18"/>
        <rFont val="Arial"/>
        <family val="2"/>
      </rPr>
      <t>=</t>
    </r>
  </si>
  <si>
    <r>
      <t>[cm</t>
    </r>
    <r>
      <rPr>
        <b/>
        <vertAlign val="superscript"/>
        <sz val="12"/>
        <color indexed="18"/>
        <rFont val="Arial Narrow"/>
        <family val="2"/>
      </rPr>
      <t>2</t>
    </r>
    <r>
      <rPr>
        <b/>
        <sz val="12"/>
        <color indexed="18"/>
        <rFont val="Arial Narrow"/>
        <family val="2"/>
      </rPr>
      <t>]</t>
    </r>
  </si>
  <si>
    <r>
      <t>Sum(x</t>
    </r>
    <r>
      <rPr>
        <b/>
        <vertAlign val="superscript"/>
        <sz val="12"/>
        <color indexed="18"/>
        <rFont val="Arial"/>
        <family val="2"/>
      </rPr>
      <t>2</t>
    </r>
    <r>
      <rPr>
        <b/>
        <sz val="12"/>
        <color indexed="18"/>
        <rFont val="Arial"/>
        <family val="2"/>
      </rPr>
      <t xml:space="preserve"> y)</t>
    </r>
  </si>
  <si>
    <r>
      <t>[cm</t>
    </r>
    <r>
      <rPr>
        <b/>
        <vertAlign val="superscript"/>
        <sz val="17"/>
        <color indexed="18"/>
        <rFont val="Arial Narrow"/>
        <family val="2"/>
      </rPr>
      <t>3</t>
    </r>
    <r>
      <rPr>
        <b/>
        <sz val="17"/>
        <color indexed="18"/>
        <rFont val="Arial Narrow"/>
        <family val="2"/>
      </rPr>
      <t>]</t>
    </r>
  </si>
  <si>
    <t>VIGAS RECTANGULARES</t>
  </si>
  <si>
    <t>q = p fy / f'c</t>
  </si>
  <si>
    <t>para flexión Ø = 0.9</t>
  </si>
  <si>
    <t xml:space="preserve"> </t>
  </si>
  <si>
    <t xml:space="preserve">  </t>
  </si>
  <si>
    <t>VIGAS DOBLEMENTE ARMADAS</t>
  </si>
  <si>
    <t xml:space="preserve">P max &lt; (#) Pb=&gt;   (#) : para sismo &lt; 0.5 </t>
  </si>
  <si>
    <t>M max = Ø f'c b d²  q max (1- 0.59  q max) &lt; M exterior</t>
  </si>
  <si>
    <t>ΔΜ = Mext - Mmax</t>
  </si>
  <si>
    <t>A's = ΔΜ / Ø f's (d-d')</t>
  </si>
  <si>
    <t>As = As1 + As2</t>
  </si>
  <si>
    <t>Pb = pb + P' f's/fy      p = A's / b.d</t>
  </si>
  <si>
    <t>chequear   P &lt; 0.5 Pb  (para sismo)</t>
  </si>
  <si>
    <t>d - t/2</t>
  </si>
  <si>
    <t>VIGAS  T</t>
  </si>
  <si>
    <t>Si Mext &gt; Mp    =&gt;  VIGA  T</t>
  </si>
  <si>
    <t>Cf = 0.85 f'c ( b-bw)t   ( compresión de las alas )</t>
  </si>
  <si>
    <t>Mf = Ø Cf ( d - t/2 )</t>
  </si>
  <si>
    <t>ΔΜ = Mext - Mf</t>
  </si>
  <si>
    <t>Asw = P bw d</t>
  </si>
  <si>
    <t>Vu y Vtu, calcular a una distancia "d" de la cara de la columna</t>
  </si>
  <si>
    <t>Si Vu &gt; Vc/2  =&gt;  se necesita refuerzo por corte</t>
  </si>
  <si>
    <t>Refuerzo perpendicular :</t>
  </si>
  <si>
    <t>S &lt; 0.5d &lt; 60 cm.</t>
  </si>
  <si>
    <t xml:space="preserve">para hallar Vc : </t>
  </si>
  <si>
    <t>Para tensión y cortante combinado :</t>
  </si>
  <si>
    <t>B</t>
  </si>
  <si>
    <t>B0</t>
  </si>
  <si>
    <t>A:C23</t>
  </si>
  <si>
    <t>B1B</t>
  </si>
  <si>
    <t>BP</t>
  </si>
  <si>
    <t>A:D52</t>
  </si>
  <si>
    <t>BW</t>
  </si>
  <si>
    <t>A:C22</t>
  </si>
  <si>
    <t>D</t>
  </si>
  <si>
    <t>A:D39</t>
  </si>
  <si>
    <t>D'</t>
  </si>
  <si>
    <t>A:D40</t>
  </si>
  <si>
    <t>FMAX</t>
  </si>
  <si>
    <t>A:D28</t>
  </si>
  <si>
    <t>MMAX</t>
  </si>
  <si>
    <t>A:D14</t>
  </si>
  <si>
    <t>MU</t>
  </si>
  <si>
    <t>PB</t>
  </si>
  <si>
    <t>A:D30</t>
  </si>
  <si>
    <t>S</t>
  </si>
  <si>
    <t>T</t>
  </si>
  <si>
    <t>A:D22</t>
  </si>
  <si>
    <t>A:B69</t>
  </si>
  <si>
    <t>A:D62</t>
  </si>
  <si>
    <t>A:D64</t>
  </si>
  <si>
    <t>\A</t>
  </si>
  <si>
    <t>A:D65</t>
  </si>
  <si>
    <t>A:D63</t>
  </si>
  <si>
    <t>A:A83</t>
  </si>
  <si>
    <r>
      <t>Mu =</t>
    </r>
    <r>
      <rPr>
        <sz val="12"/>
        <rFont val="Arial"/>
        <family val="2"/>
      </rPr>
      <t>Ø</t>
    </r>
    <r>
      <rPr>
        <sz val="12"/>
        <rFont val="Courier"/>
        <family val="0"/>
      </rPr>
      <t xml:space="preserve"> f'c b d² q (1-0.59 q)</t>
    </r>
  </si>
  <si>
    <t>rfrosadoj@hotmail.com</t>
  </si>
  <si>
    <t>TEORÍA DE DISEÑO A FLEXIÓN DE VIGAS:</t>
  </si>
  <si>
    <t>Para tensión axial significativa</t>
  </si>
  <si>
    <t>Comprobación:     a = (As - A's).fy / ( 0.85 f'c b )</t>
  </si>
  <si>
    <t>Comprobación :</t>
  </si>
  <si>
    <t>x = dimensión menor  en la zona rectangular de una sección transversal</t>
  </si>
  <si>
    <t>y = dimensión mayor de la zona rectangular  de una sección transversal.</t>
  </si>
  <si>
    <t>TABLA DE ASIGNACIÓN DE NOMBRES A CELDAS:</t>
  </si>
  <si>
    <t>K = ΔΜ / ( Ø f'c bw d² )</t>
  </si>
  <si>
    <t>CALCULO DEL REFUERZO POR CORTE, TORSIÓN Y FUERZA AXIAL COMBINADO</t>
  </si>
  <si>
    <r>
      <t>K = Mu  / ( Ø f'c b d² )   Pb = 0.85 f'c ß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6000 / fy(6000+fy)</t>
    </r>
  </si>
  <si>
    <t>Asf = Cf / fy    ( area equivalente en acero de las alas del patín )</t>
  </si>
  <si>
    <t>P = f'c / fy     1- √(1- 2.36 K ) / 1,18     As = P b d  Para f'c &lt;280 _x001A_ß1 = 0.85</t>
  </si>
  <si>
    <t>As = Asw + Asf=&gt;    ; Asw = As - Asf</t>
  </si>
  <si>
    <t>Pb = bw / b ( pb  +  Asf / bw d )</t>
  </si>
  <si>
    <r>
      <t xml:space="preserve"> chequear que  P</t>
    </r>
    <r>
      <rPr>
        <vertAlign val="subscript"/>
        <sz val="12"/>
        <rFont val="Courier"/>
        <family val="3"/>
      </rPr>
      <t>max</t>
    </r>
    <r>
      <rPr>
        <sz val="12"/>
        <rFont val="Courier"/>
        <family val="0"/>
      </rPr>
      <t xml:space="preserve"> &lt;= 0.5 Pb  (sismo)</t>
    </r>
  </si>
  <si>
    <r>
      <t>As</t>
    </r>
    <r>
      <rPr>
        <vertAlign val="subscript"/>
        <sz val="12"/>
        <rFont val="Courier"/>
        <family val="3"/>
      </rPr>
      <t>min</t>
    </r>
    <r>
      <rPr>
        <sz val="12"/>
        <rFont val="Courier"/>
        <family val="0"/>
      </rPr>
      <t xml:space="preserve"> = 14 bw d / fy</t>
    </r>
  </si>
  <si>
    <t>vu = Vu / (Ø bw d) =&gt;  Ø = 0.85      fy &lt;= 4.200 Kg/cm²</t>
  </si>
  <si>
    <t>P = f'c / fy [ ( 1- A90(1- 2.36 K ) / 1,18 ]</t>
  </si>
  <si>
    <t>Para Vtu &lt;= 0.4 √ f'c  =&gt;  Av min = 3.52 bw S / fy</t>
  </si>
  <si>
    <t>bw ; S en cm.</t>
  </si>
  <si>
    <t>Para Vtu &gt; 0.4 √ f'c  =&gt;  Av + 2 At = 3.52 bw S / fy = Amin estribos</t>
  </si>
  <si>
    <t>para Vtu &lt; 0.4 √ f'c</t>
  </si>
  <si>
    <t>vc = 0.53 √ f'c</t>
  </si>
  <si>
    <t>Para diseñar solo refuerzo por corte perpendicular</t>
  </si>
  <si>
    <t>Si:  ( Vu - Vc ) &gt; √ f'c</t>
  </si>
  <si>
    <t>=&gt;  S &lt; 0.25 d  &lt; 30 cm.</t>
  </si>
  <si>
    <t>( Vu - Vc ) &lt;= 2.1 √ f'c</t>
  </si>
  <si>
    <t>Se podrá despreciar la tensión cuando vtu &lt; 0.4 √ f'c</t>
  </si>
  <si>
    <t>vC</t>
  </si>
  <si>
    <t>vTC</t>
  </si>
  <si>
    <t>vTU</t>
  </si>
  <si>
    <t>vU</t>
  </si>
  <si>
    <t>Cáculo de estribos cerrados por torsión :</t>
  </si>
  <si>
    <t xml:space="preserve">Calcula refuerzo longitudinal y estribos, para acciones solas o combinadas de flexión, cortante, fuerza axial y torsión </t>
  </si>
  <si>
    <t>DISEÑO A FLEXIÓN, CORTANTE, F. AXIAL Y TORSIÓN COMBINADAS DE VIGAS RECTANGULARES DE HA CON ARMADURA SIMPLE O DOBLE Y VIGAS "T"</t>
  </si>
  <si>
    <t>La Nomenclatura es la que se utiliza en el ACI-318-71</t>
  </si>
  <si>
    <t>Chequear P&lt; Pb(0.5)  para sismo                          Para f'c &gt;280 =&gt; B1 = 1.05-f'c / 1400</t>
  </si>
  <si>
    <t xml:space="preserve"> q max &lt; q b * (#)=&gt; q max = Pmax(fy)/f'c</t>
  </si>
  <si>
    <t>f's = 6000 [ 1 - d'/d (1 + fy / 6000) ] &lt; fy</t>
  </si>
  <si>
    <t>As2 = A's (f's)/fy    ;   As1 = Pmax . b . D</t>
  </si>
  <si>
    <t>Asmax = Pmax b.d  =&gt;  Pmax &lt; 0.5 Pb</t>
  </si>
  <si>
    <t>Asmin = 14 / ( fy.b.d )</t>
  </si>
  <si>
    <t>Mu = Ø  [ (As - A's)fy (d-a/2) + A's.f's (d - d') ]</t>
  </si>
  <si>
    <t>c = 0.85 f'c bt  =&gt;  Mp = C ( d- 0.5t ) Ø             (momento del patín)</t>
  </si>
  <si>
    <t xml:space="preserve">Si Mext &lt; Mp    =&gt;  VIGA RECTANGULAR  b * h </t>
  </si>
  <si>
    <t>a = Asw fy / (0.85 f'c.bw)</t>
  </si>
  <si>
    <t>Mu = ( Asw.fy ( d-a/2 ) + Asf.fy ( d-0.5 t ) )  *  Ø</t>
  </si>
  <si>
    <t>Si Vu &lt;= Vc= 0.53 √f'c</t>
  </si>
  <si>
    <t>Si Vu &lt;= Vc/2  =&gt; no necesita refuerzo por corte</t>
  </si>
  <si>
    <t>Calcular Vu ; Vtu a "d" de la cara de la columna</t>
  </si>
  <si>
    <t>Para  Vtu &gt; 0.4 √ f'c   =&gt;    Vc max = 0.53 √f'c /  √ [1+ ( Vtu/1.2 vu )² ]</t>
  </si>
  <si>
    <t>Avmin (2 ramas) = ( vu - vc ) bw S / fy</t>
  </si>
  <si>
    <t>Con un análisis más detallado</t>
  </si>
  <si>
    <t>Vc = 0.5 √ f'c + 175 Pw.Vud / Mu  &lt;= 0.9 √ f'c</t>
  </si>
  <si>
    <t>Vud / Mu &lt;= 1</t>
  </si>
  <si>
    <t>Pu Δs / bwd</t>
  </si>
  <si>
    <t>Para elementos sujetos a compresión axial</t>
  </si>
  <si>
    <t>ó</t>
  </si>
  <si>
    <t xml:space="preserve">Vtu = 3 Tu / Ø.Σx²y  ;  Ø = 0.85    </t>
  </si>
  <si>
    <t xml:space="preserve">Para viga T : </t>
  </si>
  <si>
    <t>ancho del patín &lt;= 3 espesor patín</t>
  </si>
  <si>
    <t>Vtcmax = 0.636 √ f'c / √ [ 1 + ( 1.2 vu / vtu )² ]     y  Vcmax = 0.53 * √f'c / √ [ 1 + ( Vtu / 1.2 Vu)² ]</t>
  </si>
  <si>
    <t>Vtu &lt;= 5.0 Vtcmax =  3.18 √f'c/ √ 1+( 1.2 Vu/Vtu)²</t>
  </si>
  <si>
    <t>y Vcmax = 0.5 √ f'c / √ [ 1 + ( Vtu / 1.2 Vu ) ² ] * ( 1 + 0.0285  Nu / Ag )</t>
  </si>
  <si>
    <t>Astotal = AsFlexión + AsFuerza Axial + AsCorte + AsTorsión</t>
  </si>
  <si>
    <t>Varillas longitudinales por torsión:</t>
  </si>
  <si>
    <t>S de varillas mayores de la #3 ( 9.5mm de ø) debe ser menor a 30cm.   (11.8.5)</t>
  </si>
  <si>
    <r>
      <t>As</t>
    </r>
    <r>
      <rPr>
        <vertAlign val="subscript"/>
        <sz val="12"/>
        <rFont val="Courier"/>
        <family val="3"/>
      </rPr>
      <t>max</t>
    </r>
    <r>
      <rPr>
        <sz val="12"/>
        <rFont val="Courier"/>
        <family val="0"/>
      </rPr>
      <t xml:space="preserve"> = P</t>
    </r>
    <r>
      <rPr>
        <vertAlign val="subscript"/>
        <sz val="12"/>
        <rFont val="Courier"/>
        <family val="3"/>
      </rPr>
      <t>max</t>
    </r>
    <r>
      <rPr>
        <sz val="12"/>
        <rFont val="Courier"/>
        <family val="0"/>
      </rPr>
      <t>.b.d</t>
    </r>
  </si>
  <si>
    <r>
      <t>Vtcmax = 0.6 √ f'c / √ [ 1+ ( 1.2 Vu/Vtu )² ] * ( 1 + 0.0285 Nu / Ag )    Para tensión Nu [kg/cm</t>
    </r>
    <r>
      <rPr>
        <vertAlign val="superscript"/>
        <sz val="12"/>
        <rFont val="Courier"/>
        <family val="3"/>
      </rPr>
      <t>2</t>
    </r>
    <r>
      <rPr>
        <sz val="12"/>
        <rFont val="Courier"/>
        <family val="0"/>
      </rPr>
      <t>] es (-)</t>
    </r>
  </si>
  <si>
    <r>
      <t>At = ( Vtu - Vtc ) S * Σx²y / ( 3 αt.x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.y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.fy )  ;  αt = 0.66 + 0.33 (x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/y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  &lt;= 1.50</t>
    </r>
  </si>
  <si>
    <r>
      <t>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3"/>
      </rPr>
      <t>=</t>
    </r>
    <r>
      <rPr>
        <vertAlign val="subscript"/>
        <sz val="12"/>
        <rFont val="Courier"/>
        <family val="3"/>
      </rPr>
      <t xml:space="preserve"> </t>
    </r>
    <r>
      <rPr>
        <sz val="12"/>
        <rFont val="Courier"/>
        <family val="3"/>
      </rPr>
      <t>dimensión menor centro a centro de un estribo rectangular cerrado</t>
    </r>
  </si>
  <si>
    <r>
      <t>y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3"/>
      </rPr>
      <t>= dimensión mayor centro a centro de un estribo rectangular cerrado</t>
    </r>
  </si>
  <si>
    <t>Smax = (x1 + y1) / 4 &lt; 30 cm.     Av + 2At = 3.5 bw S / fy = Amin de estribos</t>
  </si>
  <si>
    <r>
      <t>Al = 2At (x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+ y</t>
    </r>
    <r>
      <rPr>
        <vertAlign val="subscript"/>
        <sz val="12"/>
        <rFont val="Courier"/>
        <family val="3"/>
      </rPr>
      <t>1)/S</t>
    </r>
    <r>
      <rPr>
        <sz val="12"/>
        <rFont val="Courier"/>
        <family val="3"/>
      </rPr>
      <t xml:space="preserve">    ó    Al = [28 x S / fy [vtu / (vtu + vu)] -2At] (x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3"/>
      </rPr>
      <t>+y</t>
    </r>
    <r>
      <rPr>
        <vertAlign val="subscript"/>
        <sz val="12"/>
        <rFont val="Courier"/>
        <family val="3"/>
      </rPr>
      <t>1)</t>
    </r>
    <r>
      <rPr>
        <sz val="12"/>
        <rFont val="Courier"/>
        <family val="3"/>
      </rPr>
      <t>/S &lt;= [28 x S / fy  [vtu / (vtu + vu)]  - 3.5 bw d S / fy] (x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3"/>
      </rPr>
      <t>+y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3"/>
      </rPr>
      <t>/s)</t>
    </r>
  </si>
  <si>
    <t>Se escoge Al la mayor de las 2 ecuaciones anteriores</t>
  </si>
  <si>
    <r>
      <t>vc = 0.5*√ft + 175.Pw.Vud / Mm &lt;= 0.9√f'c  [ ( √ (1+ 0.0285 Nu / Ag) ]  ;   Nu / Ag en Kg / cm</t>
    </r>
    <r>
      <rPr>
        <vertAlign val="superscript"/>
        <sz val="12"/>
        <rFont val="Courier"/>
        <family val="3"/>
      </rPr>
      <t>2</t>
    </r>
  </si>
  <si>
    <t>Mm = Mu - Nu ( 4h - d ) / 8  &lt; Vud</t>
  </si>
  <si>
    <t xml:space="preserve">Vc = 0.5 ( 1 + 0.007 Nu / Ag )√f'c &lt;= 0.9 √fc √ ( 1 + 0.0285 * Nu / Ag) </t>
  </si>
  <si>
    <t>Vc = 0.5 ( 1+ 0.0285 Nu / Ag ) √ f'c  ;  Nu (-) para tensión</t>
  </si>
  <si>
    <t>telef. 593-06 252 0696</t>
  </si>
  <si>
    <t>hidrosoft@hotmail.com</t>
  </si>
  <si>
    <t>HIDROSOFT</t>
  </si>
  <si>
    <t>593-99 732 5166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</si>
</sst>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#.##000"/>
    <numFmt numFmtId="187" formatCode="0.00E+00_)"/>
    <numFmt numFmtId="188" formatCode="#,##0.0000_);\(#,##0.0000\)"/>
    <numFmt numFmtId="189" formatCode="0.0_)"/>
    <numFmt numFmtId="190" formatCode="#.##0.00_);\(#.##0.00\)"/>
    <numFmt numFmtId="191" formatCode="0.000%"/>
    <numFmt numFmtId="192" formatCode="0.0%"/>
    <numFmt numFmtId="193" formatCode=";;;"/>
    <numFmt numFmtId="194" formatCode="0.0\ &quot;%&quot;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#,##0.0;\-#,##0.0"/>
    <numFmt numFmtId="202" formatCode="0.00;[Red]0.00"/>
    <numFmt numFmtId="203" formatCode="[$-300A]dddd\,\ dd&quot; del &quot;mmmm&quot; de &quot;yyyy"/>
    <numFmt numFmtId="204" formatCode="#,##0.00\ &quot;mm&quot;"/>
    <numFmt numFmtId="205" formatCode="#,##0.00\ \ &quot;cm2&quot;"/>
    <numFmt numFmtId="206" formatCode="#,##0.00\ &quot;cm2&quot;"/>
    <numFmt numFmtId="207" formatCode="#,##0.0000;\-#,##0.0000"/>
    <numFmt numFmtId="208" formatCode="#.##0.00;\-#.##0.00"/>
  </numFmts>
  <fonts count="181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i/>
      <u val="single"/>
      <sz val="18"/>
      <color indexed="8"/>
      <name val="Arial"/>
      <family val="2"/>
    </font>
    <font>
      <sz val="12"/>
      <color indexed="20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11"/>
      <name val="Arial"/>
      <family val="2"/>
    </font>
    <font>
      <b/>
      <i/>
      <sz val="18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i/>
      <sz val="12"/>
      <color indexed="17"/>
      <name val="Arial"/>
      <family val="2"/>
    </font>
    <font>
      <sz val="10"/>
      <color indexed="18"/>
      <name val="Arial"/>
      <family val="2"/>
    </font>
    <font>
      <b/>
      <sz val="12"/>
      <color indexed="19"/>
      <name val="Garamond"/>
      <family val="1"/>
    </font>
    <font>
      <b/>
      <sz val="12"/>
      <color indexed="16"/>
      <name val="Garamond"/>
      <family val="1"/>
    </font>
    <font>
      <sz val="12"/>
      <name val="Garamond"/>
      <family val="1"/>
    </font>
    <font>
      <b/>
      <i/>
      <sz val="16"/>
      <color indexed="12"/>
      <name val="Arial Narrow"/>
      <family val="2"/>
    </font>
    <font>
      <b/>
      <sz val="11"/>
      <color indexed="53"/>
      <name val="Arial"/>
      <family val="2"/>
    </font>
    <font>
      <sz val="10"/>
      <color indexed="10"/>
      <name val="Arial"/>
      <family val="2"/>
    </font>
    <font>
      <sz val="12"/>
      <color indexed="54"/>
      <name val="Arial"/>
      <family val="2"/>
    </font>
    <font>
      <b/>
      <u val="single"/>
      <sz val="20"/>
      <color indexed="8"/>
      <name val="BankGothic Lt BT"/>
      <family val="2"/>
    </font>
    <font>
      <sz val="10"/>
      <color indexed="18"/>
      <name val="Courier"/>
      <family val="0"/>
    </font>
    <font>
      <b/>
      <sz val="10"/>
      <color indexed="17"/>
      <name val="Courier"/>
      <family val="0"/>
    </font>
    <font>
      <sz val="10"/>
      <name val="Courier"/>
      <family val="0"/>
    </font>
    <font>
      <sz val="10"/>
      <color indexed="16"/>
      <name val="Courier"/>
      <family val="0"/>
    </font>
    <font>
      <b/>
      <sz val="10"/>
      <color indexed="10"/>
      <name val="Courier"/>
      <family val="0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Garamond"/>
      <family val="1"/>
    </font>
    <font>
      <b/>
      <sz val="12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8"/>
      <name val="Arial"/>
      <family val="2"/>
    </font>
    <font>
      <b/>
      <u val="single"/>
      <sz val="12"/>
      <color indexed="16"/>
      <name val="Garamond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Courier"/>
      <family val="0"/>
    </font>
    <font>
      <u val="single"/>
      <sz val="9"/>
      <color indexed="12"/>
      <name val="Courier"/>
      <family val="0"/>
    </font>
    <font>
      <b/>
      <sz val="12"/>
      <name val="Arial"/>
      <family val="2"/>
    </font>
    <font>
      <u val="single"/>
      <sz val="9"/>
      <color indexed="36"/>
      <name val="Courier"/>
      <family val="0"/>
    </font>
    <font>
      <sz val="12"/>
      <color indexed="8"/>
      <name val="Courier"/>
      <family val="0"/>
    </font>
    <font>
      <b/>
      <u val="single"/>
      <sz val="20"/>
      <color indexed="8"/>
      <name val="Franklin Gothic Medium"/>
      <family val="2"/>
    </font>
    <font>
      <sz val="16"/>
      <color indexed="14"/>
      <name val="Arial Narrow"/>
      <family val="2"/>
    </font>
    <font>
      <sz val="12"/>
      <name val="Courier New"/>
      <family val="3"/>
    </font>
    <font>
      <sz val="14"/>
      <color indexed="14"/>
      <name val="Fixedsys"/>
      <family val="3"/>
    </font>
    <font>
      <sz val="12"/>
      <color indexed="53"/>
      <name val="Courier"/>
      <family val="0"/>
    </font>
    <font>
      <b/>
      <sz val="15"/>
      <color indexed="8"/>
      <name val="Courier"/>
      <family val="3"/>
    </font>
    <font>
      <b/>
      <sz val="10"/>
      <color indexed="8"/>
      <name val="Courier"/>
      <family val="3"/>
    </font>
    <font>
      <b/>
      <sz val="12"/>
      <color indexed="8"/>
      <name val="Courier"/>
      <family val="3"/>
    </font>
    <font>
      <b/>
      <u val="single"/>
      <sz val="14"/>
      <color indexed="18"/>
      <name val="Book Antiqua"/>
      <family val="1"/>
    </font>
    <font>
      <b/>
      <sz val="16"/>
      <color indexed="18"/>
      <name val="Arial"/>
      <family val="2"/>
    </font>
    <font>
      <b/>
      <sz val="14"/>
      <color indexed="18"/>
      <name val="Arial Narrow"/>
      <family val="2"/>
    </font>
    <font>
      <b/>
      <sz val="12"/>
      <color indexed="18"/>
      <name val="Courier"/>
      <family val="0"/>
    </font>
    <font>
      <b/>
      <sz val="12"/>
      <color indexed="10"/>
      <name val="Arial"/>
      <family val="2"/>
    </font>
    <font>
      <sz val="12"/>
      <color indexed="10"/>
      <name val="Book Antiqua"/>
      <family val="1"/>
    </font>
    <font>
      <sz val="12"/>
      <color indexed="61"/>
      <name val="Courier"/>
      <family val="0"/>
    </font>
    <font>
      <b/>
      <i/>
      <sz val="14"/>
      <color indexed="18"/>
      <name val="Arial"/>
      <family val="2"/>
    </font>
    <font>
      <b/>
      <vertAlign val="subscript"/>
      <sz val="16"/>
      <color indexed="18"/>
      <name val="Arial"/>
      <family val="2"/>
    </font>
    <font>
      <b/>
      <vertAlign val="superscript"/>
      <sz val="17"/>
      <color indexed="18"/>
      <name val="Arial Narrow"/>
      <family val="2"/>
    </font>
    <font>
      <b/>
      <sz val="17"/>
      <color indexed="18"/>
      <name val="Arial Narrow"/>
      <family val="2"/>
    </font>
    <font>
      <b/>
      <sz val="12"/>
      <color indexed="17"/>
      <name val="Courier"/>
      <family val="3"/>
    </font>
    <font>
      <sz val="12"/>
      <color indexed="10"/>
      <name val="Courier"/>
      <family val="0"/>
    </font>
    <font>
      <b/>
      <i/>
      <vertAlign val="subscript"/>
      <sz val="14"/>
      <color indexed="18"/>
      <name val="Arial"/>
      <family val="2"/>
    </font>
    <font>
      <b/>
      <sz val="14"/>
      <color indexed="8"/>
      <name val="Comic Sans MS"/>
      <family val="4"/>
    </font>
    <font>
      <sz val="12"/>
      <name val="Dutch801 XBd BT"/>
      <family val="1"/>
    </font>
    <font>
      <b/>
      <sz val="12"/>
      <color indexed="10"/>
      <name val="Courier"/>
      <family val="3"/>
    </font>
    <font>
      <sz val="14"/>
      <color indexed="61"/>
      <name val="Courier"/>
      <family val="0"/>
    </font>
    <font>
      <b/>
      <sz val="14"/>
      <name val="Dutch801 XBd BT"/>
      <family val="1"/>
    </font>
    <font>
      <b/>
      <u val="single"/>
      <sz val="12"/>
      <color indexed="16"/>
      <name val="Complex"/>
      <family val="0"/>
    </font>
    <font>
      <sz val="12"/>
      <color indexed="8"/>
      <name val="Complex"/>
      <family val="0"/>
    </font>
    <font>
      <b/>
      <sz val="12"/>
      <color indexed="16"/>
      <name val="Courier"/>
      <family val="3"/>
    </font>
    <font>
      <b/>
      <sz val="12"/>
      <color indexed="61"/>
      <name val="Arial"/>
      <family val="2"/>
    </font>
    <font>
      <sz val="11"/>
      <color indexed="16"/>
      <name val="Complex"/>
      <family val="0"/>
    </font>
    <font>
      <sz val="10"/>
      <color indexed="16"/>
      <name val="Complex"/>
      <family val="0"/>
    </font>
    <font>
      <sz val="12"/>
      <color indexed="16"/>
      <name val="Complex"/>
      <family val="0"/>
    </font>
    <font>
      <sz val="15"/>
      <color indexed="16"/>
      <name val="Courier"/>
      <family val="3"/>
    </font>
    <font>
      <b/>
      <sz val="10"/>
      <color indexed="16"/>
      <name val="Complex"/>
      <family val="0"/>
    </font>
    <font>
      <b/>
      <sz val="12"/>
      <color indexed="16"/>
      <name val="Complex"/>
      <family val="0"/>
    </font>
    <font>
      <b/>
      <sz val="15"/>
      <color indexed="16"/>
      <name val="Courier"/>
      <family val="3"/>
    </font>
    <font>
      <b/>
      <sz val="14"/>
      <color indexed="16"/>
      <name val="Book Antiqua"/>
      <family val="1"/>
    </font>
    <font>
      <sz val="14"/>
      <color indexed="8"/>
      <name val="Courier"/>
      <family val="0"/>
    </font>
    <font>
      <b/>
      <sz val="14"/>
      <color indexed="8"/>
      <name val="Dutch801 XBd BT"/>
      <family val="1"/>
    </font>
    <font>
      <sz val="14"/>
      <name val="Courier"/>
      <family val="0"/>
    </font>
    <font>
      <b/>
      <sz val="16"/>
      <color indexed="8"/>
      <name val="Arial"/>
      <family val="2"/>
    </font>
    <font>
      <b/>
      <sz val="17"/>
      <color indexed="8"/>
      <name val="Arial Narrow"/>
      <family val="2"/>
    </font>
    <font>
      <b/>
      <u val="single"/>
      <sz val="14"/>
      <color indexed="16"/>
      <name val="Courier"/>
      <family val="0"/>
    </font>
    <font>
      <sz val="10"/>
      <color indexed="8"/>
      <name val="Complex"/>
      <family val="0"/>
    </font>
    <font>
      <sz val="12"/>
      <color indexed="16"/>
      <name val="Courier"/>
      <family val="0"/>
    </font>
    <font>
      <b/>
      <sz val="14"/>
      <color indexed="16"/>
      <name val="Courier"/>
      <family val="0"/>
    </font>
    <font>
      <sz val="10"/>
      <color indexed="8"/>
      <name val="Courier"/>
      <family val="0"/>
    </font>
    <font>
      <b/>
      <sz val="10"/>
      <color indexed="16"/>
      <name val="Courier"/>
      <family val="3"/>
    </font>
    <font>
      <sz val="12"/>
      <color indexed="61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Book Antiqua"/>
      <family val="1"/>
    </font>
    <font>
      <sz val="16"/>
      <color indexed="18"/>
      <name val="Arial"/>
      <family val="2"/>
    </font>
    <font>
      <sz val="17"/>
      <color indexed="18"/>
      <name val="Arial Narrow"/>
      <family val="2"/>
    </font>
    <font>
      <b/>
      <i/>
      <sz val="11"/>
      <color indexed="18"/>
      <name val="Arial"/>
      <family val="2"/>
    </font>
    <font>
      <b/>
      <i/>
      <sz val="12"/>
      <color indexed="10"/>
      <name val="Arial"/>
      <family val="2"/>
    </font>
    <font>
      <b/>
      <vertAlign val="superscript"/>
      <sz val="12"/>
      <color indexed="18"/>
      <name val="Arial Narrow"/>
      <family val="2"/>
    </font>
    <font>
      <b/>
      <sz val="12"/>
      <color indexed="18"/>
      <name val="Arial Narrow"/>
      <family val="2"/>
    </font>
    <font>
      <b/>
      <sz val="17"/>
      <name val="Arial Narrow"/>
      <family val="2"/>
    </font>
    <font>
      <b/>
      <vertAlign val="superscript"/>
      <sz val="12"/>
      <color indexed="18"/>
      <name val="Arial"/>
      <family val="2"/>
    </font>
    <font>
      <b/>
      <sz val="14"/>
      <color indexed="8"/>
      <name val="Courier"/>
      <family val="0"/>
    </font>
    <font>
      <sz val="12"/>
      <color indexed="13"/>
      <name val="Courier"/>
      <family val="0"/>
    </font>
    <font>
      <b/>
      <sz val="14"/>
      <color indexed="10"/>
      <name val="Courier"/>
      <family val="0"/>
    </font>
    <font>
      <b/>
      <i/>
      <sz val="12"/>
      <color indexed="18"/>
      <name val="Arial"/>
      <family val="2"/>
    </font>
    <font>
      <b/>
      <sz val="14"/>
      <color indexed="17"/>
      <name val="Courier"/>
      <family val="3"/>
    </font>
    <font>
      <sz val="13"/>
      <color indexed="16"/>
      <name val="Book Antiqua"/>
      <family val="1"/>
    </font>
    <font>
      <b/>
      <sz val="14"/>
      <color indexed="16"/>
      <name val="Courier New"/>
      <family val="3"/>
    </font>
    <font>
      <b/>
      <sz val="9"/>
      <color indexed="16"/>
      <name val="Bookman Old Style"/>
      <family val="1"/>
    </font>
    <font>
      <sz val="8"/>
      <name val="Courier"/>
      <family val="0"/>
    </font>
    <font>
      <b/>
      <sz val="16"/>
      <name val="BankGothic Md BT"/>
      <family val="2"/>
    </font>
    <font>
      <sz val="12"/>
      <color indexed="18"/>
      <name val="Courier"/>
      <family val="0"/>
    </font>
    <font>
      <sz val="14"/>
      <name val="BankGothic Md BT"/>
      <family val="2"/>
    </font>
    <font>
      <sz val="12"/>
      <name val="BankGothic Md BT"/>
      <family val="2"/>
    </font>
    <font>
      <vertAlign val="subscript"/>
      <sz val="12"/>
      <name val="Courier"/>
      <family val="3"/>
    </font>
    <font>
      <sz val="12"/>
      <name val="Arial Black"/>
      <family val="2"/>
    </font>
    <font>
      <b/>
      <sz val="14"/>
      <name val="Courier"/>
      <family val="3"/>
    </font>
    <font>
      <b/>
      <sz val="12"/>
      <name val="Courier"/>
      <family val="3"/>
    </font>
    <font>
      <sz val="12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2"/>
      <name val="Courier"/>
      <family val="3"/>
    </font>
    <font>
      <u val="single"/>
      <sz val="12"/>
      <color indexed="12"/>
      <name val="Times New Roman"/>
      <family val="1"/>
    </font>
    <font>
      <b/>
      <sz val="18"/>
      <name val="Algerian"/>
      <family val="5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u val="single"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double"/>
      <top style="thick"/>
      <bottom style="double"/>
    </border>
    <border>
      <left style="double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9" borderId="0" applyNumberFormat="0" applyBorder="0" applyAlignment="0" applyProtection="0"/>
    <xf numFmtId="0" fontId="163" fillId="10" borderId="0" applyNumberFormat="0" applyBorder="0" applyAlignment="0" applyProtection="0"/>
    <xf numFmtId="0" fontId="163" fillId="11" borderId="0" applyNumberFormat="0" applyBorder="0" applyAlignment="0" applyProtection="0"/>
    <xf numFmtId="0" fontId="163" fillId="12" borderId="0" applyNumberFormat="0" applyBorder="0" applyAlignment="0" applyProtection="0"/>
    <xf numFmtId="0" fontId="163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5" fillId="20" borderId="0" applyNumberFormat="0" applyBorder="0" applyAlignment="0" applyProtection="0"/>
    <xf numFmtId="0" fontId="166" fillId="21" borderId="1" applyNumberFormat="0" applyAlignment="0" applyProtection="0"/>
    <xf numFmtId="0" fontId="167" fillId="22" borderId="2" applyNumberFormat="0" applyAlignment="0" applyProtection="0"/>
    <xf numFmtId="0" fontId="168" fillId="0" borderId="3" applyNumberFormat="0" applyFill="0" applyAlignment="0" applyProtection="0"/>
    <xf numFmtId="0" fontId="169" fillId="0" borderId="4" applyNumberFormat="0" applyFill="0" applyAlignment="0" applyProtection="0"/>
    <xf numFmtId="0" fontId="170" fillId="0" borderId="0" applyNumberFormat="0" applyFill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4" fillId="25" borderId="0" applyNumberFormat="0" applyBorder="0" applyAlignment="0" applyProtection="0"/>
    <xf numFmtId="0" fontId="164" fillId="26" borderId="0" applyNumberFormat="0" applyBorder="0" applyAlignment="0" applyProtection="0"/>
    <xf numFmtId="0" fontId="164" fillId="27" borderId="0" applyNumberFormat="0" applyBorder="0" applyAlignment="0" applyProtection="0"/>
    <xf numFmtId="0" fontId="164" fillId="28" borderId="0" applyNumberFormat="0" applyBorder="0" applyAlignment="0" applyProtection="0"/>
    <xf numFmtId="0" fontId="171" fillId="29" borderId="1" applyNumberFormat="0" applyAlignment="0" applyProtection="0"/>
    <xf numFmtId="186" fontId="2" fillId="0" borderId="0">
      <alignment/>
      <protection locked="0"/>
    </xf>
    <xf numFmtId="186" fontId="2" fillId="0" borderId="0">
      <alignment/>
      <protection locked="0"/>
    </xf>
    <xf numFmtId="186" fontId="3" fillId="0" borderId="0">
      <alignment/>
      <protection locked="0"/>
    </xf>
    <xf numFmtId="186" fontId="2" fillId="0" borderId="0">
      <alignment/>
      <protection locked="0"/>
    </xf>
    <xf numFmtId="186" fontId="2" fillId="0" borderId="0">
      <alignment/>
      <protection locked="0"/>
    </xf>
    <xf numFmtId="186" fontId="2" fillId="0" borderId="0">
      <alignment/>
      <protection locked="0"/>
    </xf>
    <xf numFmtId="186" fontId="3" fillId="0" borderId="0">
      <alignment/>
      <protection locked="0"/>
    </xf>
    <xf numFmtId="0" fontId="4" fillId="0" borderId="0">
      <alignment/>
      <protection locked="0"/>
    </xf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2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73" fillId="31" borderId="0" applyNumberFormat="0" applyBorder="0" applyAlignment="0" applyProtection="0"/>
    <xf numFmtId="39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174" fillId="21" borderId="6" applyNumberFormat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7" applyNumberFormat="0" applyFill="0" applyAlignment="0" applyProtection="0"/>
    <xf numFmtId="0" fontId="170" fillId="0" borderId="8" applyNumberFormat="0" applyFill="0" applyAlignment="0" applyProtection="0"/>
    <xf numFmtId="0" fontId="179" fillId="0" borderId="9" applyNumberFormat="0" applyFill="0" applyAlignment="0" applyProtection="0"/>
  </cellStyleXfs>
  <cellXfs count="418">
    <xf numFmtId="39" fontId="0" fillId="0" borderId="0" xfId="0" applyAlignment="1">
      <alignment/>
    </xf>
    <xf numFmtId="39" fontId="6" fillId="0" borderId="10" xfId="0" applyFont="1" applyFill="1" applyBorder="1" applyAlignment="1" applyProtection="1">
      <alignment/>
      <protection/>
    </xf>
    <xf numFmtId="39" fontId="8" fillId="0" borderId="0" xfId="0" applyFont="1" applyAlignment="1" applyProtection="1">
      <alignment horizontal="left"/>
      <protection/>
    </xf>
    <xf numFmtId="39" fontId="6" fillId="0" borderId="11" xfId="0" applyFont="1" applyFill="1" applyBorder="1" applyAlignment="1" applyProtection="1">
      <alignment/>
      <protection/>
    </xf>
    <xf numFmtId="39" fontId="6" fillId="0" borderId="12" xfId="0" applyFont="1" applyFill="1" applyBorder="1" applyAlignment="1" applyProtection="1">
      <alignment/>
      <protection/>
    </xf>
    <xf numFmtId="39" fontId="6" fillId="0" borderId="13" xfId="0" applyFont="1" applyFill="1" applyBorder="1" applyAlignment="1" applyProtection="1">
      <alignment/>
      <protection/>
    </xf>
    <xf numFmtId="39" fontId="6" fillId="0" borderId="12" xfId="0" applyFont="1" applyFill="1" applyBorder="1" applyAlignment="1" applyProtection="1">
      <alignment/>
      <protection/>
    </xf>
    <xf numFmtId="39" fontId="10" fillId="0" borderId="0" xfId="0" applyFont="1" applyFill="1" applyAlignment="1" applyProtection="1">
      <alignment/>
      <protection/>
    </xf>
    <xf numFmtId="39" fontId="11" fillId="0" borderId="0" xfId="0" applyFont="1" applyFill="1" applyAlignment="1" applyProtection="1">
      <alignment/>
      <protection/>
    </xf>
    <xf numFmtId="39" fontId="12" fillId="0" borderId="0" xfId="0" applyFont="1" applyFill="1" applyAlignment="1" applyProtection="1">
      <alignment/>
      <protection/>
    </xf>
    <xf numFmtId="39" fontId="8" fillId="0" borderId="0" xfId="0" applyFont="1" applyAlignment="1" applyProtection="1">
      <alignment/>
      <protection/>
    </xf>
    <xf numFmtId="39" fontId="6" fillId="0" borderId="14" xfId="0" applyFont="1" applyFill="1" applyBorder="1" applyAlignment="1" applyProtection="1">
      <alignment/>
      <protection/>
    </xf>
    <xf numFmtId="39" fontId="6" fillId="0" borderId="14" xfId="0" applyFont="1" applyFill="1" applyBorder="1" applyAlignment="1" applyProtection="1">
      <alignment/>
      <protection/>
    </xf>
    <xf numFmtId="39" fontId="6" fillId="0" borderId="14" xfId="0" applyFont="1" applyFill="1" applyBorder="1" applyAlignment="1" applyProtection="1">
      <alignment horizontal="right"/>
      <protection/>
    </xf>
    <xf numFmtId="39" fontId="12" fillId="0" borderId="15" xfId="0" applyFont="1" applyFill="1" applyBorder="1" applyAlignment="1" applyProtection="1">
      <alignment/>
      <protection/>
    </xf>
    <xf numFmtId="37" fontId="6" fillId="0" borderId="14" xfId="0" applyNumberFormat="1" applyFont="1" applyFill="1" applyBorder="1" applyAlignment="1" applyProtection="1">
      <alignment/>
      <protection/>
    </xf>
    <xf numFmtId="188" fontId="13" fillId="0" borderId="0" xfId="0" applyNumberFormat="1" applyFont="1" applyFill="1" applyAlignment="1" applyProtection="1">
      <alignment/>
      <protection/>
    </xf>
    <xf numFmtId="39" fontId="5" fillId="0" borderId="0" xfId="0" applyFont="1" applyFill="1" applyAlignment="1" applyProtection="1">
      <alignment/>
      <protection/>
    </xf>
    <xf numFmtId="39" fontId="14" fillId="0" borderId="0" xfId="0" applyFont="1" applyFill="1" applyAlignment="1" applyProtection="1">
      <alignment/>
      <protection/>
    </xf>
    <xf numFmtId="39" fontId="15" fillId="0" borderId="10" xfId="0" applyFont="1" applyFill="1" applyBorder="1" applyAlignment="1" applyProtection="1">
      <alignment/>
      <protection/>
    </xf>
    <xf numFmtId="39" fontId="16" fillId="0" borderId="11" xfId="0" applyFont="1" applyFill="1" applyBorder="1" applyAlignment="1" applyProtection="1">
      <alignment/>
      <protection/>
    </xf>
    <xf numFmtId="187" fontId="6" fillId="0" borderId="11" xfId="0" applyNumberFormat="1" applyFont="1" applyFill="1" applyBorder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39" fontId="5" fillId="0" borderId="11" xfId="0" applyFont="1" applyFill="1" applyBorder="1" applyAlignment="1" applyProtection="1">
      <alignment/>
      <protection/>
    </xf>
    <xf numFmtId="39" fontId="6" fillId="0" borderId="11" xfId="0" applyFont="1" applyFill="1" applyBorder="1" applyAlignment="1" applyProtection="1">
      <alignment/>
      <protection/>
    </xf>
    <xf numFmtId="187" fontId="6" fillId="0" borderId="12" xfId="0" applyNumberFormat="1" applyFont="1" applyFill="1" applyBorder="1" applyAlignment="1" applyProtection="1">
      <alignment/>
      <protection/>
    </xf>
    <xf numFmtId="39" fontId="5" fillId="0" borderId="12" xfId="0" applyNumberFormat="1" applyFont="1" applyFill="1" applyBorder="1" applyAlignment="1" applyProtection="1">
      <alignment/>
      <protection/>
    </xf>
    <xf numFmtId="39" fontId="5" fillId="0" borderId="12" xfId="0" applyFont="1" applyFill="1" applyBorder="1" applyAlignment="1" applyProtection="1">
      <alignment/>
      <protection/>
    </xf>
    <xf numFmtId="39" fontId="17" fillId="0" borderId="16" xfId="0" applyFont="1" applyFill="1" applyBorder="1" applyAlignment="1" applyProtection="1">
      <alignment/>
      <protection/>
    </xf>
    <xf numFmtId="39" fontId="18" fillId="0" borderId="17" xfId="0" applyFont="1" applyFill="1" applyBorder="1" applyAlignment="1" applyProtection="1">
      <alignment/>
      <protection/>
    </xf>
    <xf numFmtId="39" fontId="18" fillId="0" borderId="16" xfId="0" applyFont="1" applyFill="1" applyBorder="1" applyAlignment="1" applyProtection="1">
      <alignment/>
      <protection/>
    </xf>
    <xf numFmtId="187" fontId="6" fillId="0" borderId="18" xfId="0" applyNumberFormat="1" applyFont="1" applyFill="1" applyBorder="1" applyAlignment="1" applyProtection="1">
      <alignment/>
      <protection/>
    </xf>
    <xf numFmtId="39" fontId="16" fillId="0" borderId="10" xfId="0" applyFont="1" applyFill="1" applyBorder="1" applyAlignment="1" applyProtection="1">
      <alignment/>
      <protection/>
    </xf>
    <xf numFmtId="39" fontId="19" fillId="0" borderId="0" xfId="0" applyFont="1" applyFill="1" applyAlignment="1" applyProtection="1">
      <alignment/>
      <protection/>
    </xf>
    <xf numFmtId="39" fontId="5" fillId="0" borderId="13" xfId="0" applyFont="1" applyFill="1" applyBorder="1" applyAlignment="1" applyProtection="1">
      <alignment/>
      <protection/>
    </xf>
    <xf numFmtId="39" fontId="6" fillId="0" borderId="13" xfId="0" applyFont="1" applyFill="1" applyBorder="1" applyAlignment="1" applyProtection="1">
      <alignment/>
      <protection/>
    </xf>
    <xf numFmtId="39" fontId="8" fillId="0" borderId="0" xfId="0" applyFont="1" applyFill="1" applyAlignment="1" applyProtection="1">
      <alignment/>
      <protection/>
    </xf>
    <xf numFmtId="39" fontId="1" fillId="0" borderId="0" xfId="0" applyFont="1" applyAlignment="1" applyProtection="1">
      <alignment horizontal="left"/>
      <protection/>
    </xf>
    <xf numFmtId="187" fontId="24" fillId="0" borderId="11" xfId="0" applyNumberFormat="1" applyFont="1" applyFill="1" applyBorder="1" applyAlignment="1" applyProtection="1">
      <alignment/>
      <protection/>
    </xf>
    <xf numFmtId="39" fontId="21" fillId="33" borderId="12" xfId="0" applyFont="1" applyFill="1" applyBorder="1" applyAlignment="1" applyProtection="1">
      <alignment/>
      <protection locked="0"/>
    </xf>
    <xf numFmtId="39" fontId="21" fillId="33" borderId="14" xfId="0" applyFont="1" applyFill="1" applyBorder="1" applyAlignment="1" applyProtection="1">
      <alignment/>
      <protection locked="0"/>
    </xf>
    <xf numFmtId="39" fontId="23" fillId="34" borderId="19" xfId="0" applyFont="1" applyFill="1" applyBorder="1" applyAlignment="1" applyProtection="1">
      <alignment/>
      <protection/>
    </xf>
    <xf numFmtId="39" fontId="25" fillId="33" borderId="16" xfId="0" applyFont="1" applyFill="1" applyBorder="1" applyAlignment="1" applyProtection="1">
      <alignment/>
      <protection locked="0"/>
    </xf>
    <xf numFmtId="187" fontId="24" fillId="0" borderId="12" xfId="0" applyNumberFormat="1" applyFont="1" applyFill="1" applyBorder="1" applyAlignment="1" applyProtection="1">
      <alignment/>
      <protection/>
    </xf>
    <xf numFmtId="39" fontId="27" fillId="35" borderId="20" xfId="0" applyFont="1" applyFill="1" applyBorder="1" applyAlignment="1" applyProtection="1">
      <alignment/>
      <protection/>
    </xf>
    <xf numFmtId="39" fontId="27" fillId="35" borderId="21" xfId="0" applyFont="1" applyFill="1" applyBorder="1" applyAlignment="1" applyProtection="1">
      <alignment/>
      <protection/>
    </xf>
    <xf numFmtId="39" fontId="30" fillId="0" borderId="0" xfId="0" applyFont="1" applyFill="1" applyAlignment="1" applyProtection="1">
      <alignment/>
      <protection/>
    </xf>
    <xf numFmtId="187" fontId="31" fillId="0" borderId="12" xfId="0" applyNumberFormat="1" applyFont="1" applyFill="1" applyBorder="1" applyAlignment="1" applyProtection="1">
      <alignment/>
      <protection/>
    </xf>
    <xf numFmtId="39" fontId="33" fillId="0" borderId="0" xfId="0" applyFont="1" applyAlignment="1" applyProtection="1">
      <alignment/>
      <protection/>
    </xf>
    <xf numFmtId="39" fontId="34" fillId="0" borderId="0" xfId="0" applyFont="1" applyFill="1" applyAlignment="1" applyProtection="1">
      <alignment/>
      <protection hidden="1"/>
    </xf>
    <xf numFmtId="39" fontId="35" fillId="0" borderId="0" xfId="0" applyFont="1" applyFill="1" applyAlignment="1" applyProtection="1">
      <alignment/>
      <protection hidden="1"/>
    </xf>
    <xf numFmtId="39" fontId="36" fillId="0" borderId="0" xfId="0" applyFont="1" applyAlignment="1" applyProtection="1">
      <alignment/>
      <protection hidden="1"/>
    </xf>
    <xf numFmtId="39" fontId="37" fillId="0" borderId="0" xfId="0" applyFont="1" applyFill="1" applyAlignment="1" applyProtection="1">
      <alignment/>
      <protection hidden="1"/>
    </xf>
    <xf numFmtId="39" fontId="38" fillId="0" borderId="0" xfId="0" applyFont="1" applyFill="1" applyAlignment="1" applyProtection="1">
      <alignment/>
      <protection hidden="1"/>
    </xf>
    <xf numFmtId="39" fontId="39" fillId="0" borderId="0" xfId="0" applyFont="1" applyAlignment="1" applyProtection="1">
      <alignment/>
      <protection hidden="1"/>
    </xf>
    <xf numFmtId="39" fontId="28" fillId="36" borderId="17" xfId="0" applyFont="1" applyFill="1" applyBorder="1" applyAlignment="1" applyProtection="1">
      <alignment/>
      <protection/>
    </xf>
    <xf numFmtId="39" fontId="28" fillId="36" borderId="0" xfId="0" applyFont="1" applyFill="1" applyBorder="1" applyAlignment="1" applyProtection="1">
      <alignment/>
      <protection/>
    </xf>
    <xf numFmtId="39" fontId="23" fillId="34" borderId="10" xfId="0" applyFont="1" applyFill="1" applyBorder="1" applyAlignment="1" applyProtection="1">
      <alignment/>
      <protection/>
    </xf>
    <xf numFmtId="39" fontId="23" fillId="34" borderId="11" xfId="0" applyFont="1" applyFill="1" applyBorder="1" applyAlignment="1" applyProtection="1">
      <alignment/>
      <protection/>
    </xf>
    <xf numFmtId="39" fontId="43" fillId="33" borderId="11" xfId="0" applyFont="1" applyFill="1" applyBorder="1" applyAlignment="1" applyProtection="1">
      <alignment/>
      <protection locked="0"/>
    </xf>
    <xf numFmtId="39" fontId="23" fillId="34" borderId="13" xfId="0" applyFont="1" applyFill="1" applyBorder="1" applyAlignment="1" applyProtection="1">
      <alignment/>
      <protection/>
    </xf>
    <xf numFmtId="39" fontId="23" fillId="34" borderId="12" xfId="0" applyFont="1" applyFill="1" applyBorder="1" applyAlignment="1" applyProtection="1">
      <alignment/>
      <protection/>
    </xf>
    <xf numFmtId="39" fontId="43" fillId="33" borderId="12" xfId="0" applyFont="1" applyFill="1" applyBorder="1" applyAlignment="1" applyProtection="1">
      <alignment/>
      <protection locked="0"/>
    </xf>
    <xf numFmtId="39" fontId="41" fillId="0" borderId="22" xfId="0" applyFont="1" applyFill="1" applyBorder="1" applyAlignment="1" applyProtection="1">
      <alignment/>
      <protection/>
    </xf>
    <xf numFmtId="39" fontId="23" fillId="34" borderId="12" xfId="0" applyFont="1" applyFill="1" applyBorder="1" applyAlignment="1" applyProtection="1">
      <alignment horizontal="center"/>
      <protection/>
    </xf>
    <xf numFmtId="39" fontId="6" fillId="37" borderId="13" xfId="0" applyFont="1" applyFill="1" applyBorder="1" applyAlignment="1" applyProtection="1">
      <alignment/>
      <protection/>
    </xf>
    <xf numFmtId="39" fontId="6" fillId="37" borderId="12" xfId="0" applyFont="1" applyFill="1" applyBorder="1" applyAlignment="1" applyProtection="1">
      <alignment/>
      <protection/>
    </xf>
    <xf numFmtId="39" fontId="6" fillId="37" borderId="12" xfId="0" applyFont="1" applyFill="1" applyBorder="1" applyAlignment="1" applyProtection="1">
      <alignment/>
      <protection/>
    </xf>
    <xf numFmtId="39" fontId="44" fillId="36" borderId="12" xfId="0" applyFont="1" applyFill="1" applyBorder="1" applyAlignment="1" applyProtection="1">
      <alignment/>
      <protection/>
    </xf>
    <xf numFmtId="39" fontId="45" fillId="34" borderId="23" xfId="0" applyFont="1" applyFill="1" applyBorder="1" applyAlignment="1" applyProtection="1">
      <alignment/>
      <protection/>
    </xf>
    <xf numFmtId="39" fontId="45" fillId="34" borderId="13" xfId="0" applyFont="1" applyFill="1" applyBorder="1" applyAlignment="1" applyProtection="1">
      <alignment/>
      <protection/>
    </xf>
    <xf numFmtId="187" fontId="21" fillId="33" borderId="12" xfId="0" applyNumberFormat="1" applyFont="1" applyFill="1" applyBorder="1" applyAlignment="1" applyProtection="1">
      <alignment/>
      <protection locked="0"/>
    </xf>
    <xf numFmtId="39" fontId="21" fillId="33" borderId="12" xfId="0" applyNumberFormat="1" applyFont="1" applyFill="1" applyBorder="1" applyAlignment="1" applyProtection="1">
      <alignment/>
      <protection locked="0"/>
    </xf>
    <xf numFmtId="39" fontId="26" fillId="37" borderId="12" xfId="0" applyFont="1" applyFill="1" applyBorder="1" applyAlignment="1" applyProtection="1">
      <alignment/>
      <protection/>
    </xf>
    <xf numFmtId="39" fontId="26" fillId="37" borderId="13" xfId="0" applyFont="1" applyFill="1" applyBorder="1" applyAlignment="1" applyProtection="1">
      <alignment/>
      <protection/>
    </xf>
    <xf numFmtId="39" fontId="26" fillId="37" borderId="12" xfId="0" applyFont="1" applyFill="1" applyBorder="1" applyAlignment="1" applyProtection="1">
      <alignment/>
      <protection/>
    </xf>
    <xf numFmtId="39" fontId="32" fillId="37" borderId="12" xfId="0" applyFont="1" applyFill="1" applyBorder="1" applyAlignment="1" applyProtection="1">
      <alignment horizontal="center"/>
      <protection/>
    </xf>
    <xf numFmtId="39" fontId="21" fillId="33" borderId="12" xfId="0" applyFont="1" applyFill="1" applyBorder="1" applyAlignment="1" applyProtection="1">
      <alignment horizontal="center"/>
      <protection locked="0"/>
    </xf>
    <xf numFmtId="39" fontId="46" fillId="0" borderId="13" xfId="0" applyFont="1" applyFill="1" applyBorder="1" applyAlignment="1" applyProtection="1">
      <alignment/>
      <protection/>
    </xf>
    <xf numFmtId="39" fontId="47" fillId="0" borderId="0" xfId="0" applyFont="1" applyFill="1" applyAlignment="1" applyProtection="1">
      <alignment/>
      <protection/>
    </xf>
    <xf numFmtId="39" fontId="26" fillId="34" borderId="12" xfId="0" applyFont="1" applyFill="1" applyBorder="1" applyAlignment="1" applyProtection="1">
      <alignment/>
      <protection/>
    </xf>
    <xf numFmtId="39" fontId="48" fillId="34" borderId="10" xfId="0" applyFont="1" applyFill="1" applyBorder="1" applyAlignment="1" applyProtection="1">
      <alignment/>
      <protection/>
    </xf>
    <xf numFmtId="39" fontId="48" fillId="34" borderId="11" xfId="0" applyFont="1" applyFill="1" applyBorder="1" applyAlignment="1" applyProtection="1">
      <alignment/>
      <protection/>
    </xf>
    <xf numFmtId="39" fontId="40" fillId="34" borderId="10" xfId="0" applyFont="1" applyFill="1" applyBorder="1" applyAlignment="1" applyProtection="1">
      <alignment vertical="center"/>
      <protection/>
    </xf>
    <xf numFmtId="39" fontId="6" fillId="36" borderId="12" xfId="0" applyFont="1" applyFill="1" applyBorder="1" applyAlignment="1" applyProtection="1">
      <alignment/>
      <protection/>
    </xf>
    <xf numFmtId="2" fontId="7" fillId="36" borderId="12" xfId="0" applyNumberFormat="1" applyFont="1" applyFill="1" applyBorder="1" applyAlignment="1" applyProtection="1">
      <alignment/>
      <protection/>
    </xf>
    <xf numFmtId="39" fontId="51" fillId="0" borderId="0" xfId="0" applyFont="1" applyAlignment="1" applyProtection="1">
      <alignment/>
      <protection/>
    </xf>
    <xf numFmtId="39" fontId="8" fillId="0" borderId="0" xfId="0" applyFont="1" applyBorder="1" applyAlignment="1" applyProtection="1">
      <alignment horizontal="left"/>
      <protection/>
    </xf>
    <xf numFmtId="39" fontId="8" fillId="0" borderId="0" xfId="0" applyFont="1" applyBorder="1" applyAlignment="1" applyProtection="1">
      <alignment horizontal="center"/>
      <protection/>
    </xf>
    <xf numFmtId="39" fontId="6" fillId="0" borderId="0" xfId="0" applyFont="1" applyFill="1" applyBorder="1" applyAlignment="1" applyProtection="1">
      <alignment/>
      <protection/>
    </xf>
    <xf numFmtId="39" fontId="55" fillId="0" borderId="0" xfId="0" applyFont="1" applyAlignment="1" applyProtection="1">
      <alignment/>
      <protection/>
    </xf>
    <xf numFmtId="39" fontId="16" fillId="0" borderId="0" xfId="54" applyNumberFormat="1" applyFont="1" applyAlignment="1" applyProtection="1">
      <alignment/>
      <protection/>
    </xf>
    <xf numFmtId="39" fontId="26" fillId="34" borderId="24" xfId="0" applyFont="1" applyFill="1" applyBorder="1" applyAlignment="1" applyProtection="1">
      <alignment/>
      <protection/>
    </xf>
    <xf numFmtId="39" fontId="26" fillId="0" borderId="24" xfId="0" applyFont="1" applyFill="1" applyBorder="1" applyAlignment="1" applyProtection="1">
      <alignment horizontal="center"/>
      <protection/>
    </xf>
    <xf numFmtId="39" fontId="22" fillId="0" borderId="13" xfId="0" applyFont="1" applyFill="1" applyBorder="1" applyAlignment="1" applyProtection="1">
      <alignment/>
      <protection/>
    </xf>
    <xf numFmtId="39" fontId="1" fillId="0" borderId="0" xfId="0" applyFont="1" applyAlignment="1" applyProtection="1">
      <alignment/>
      <protection/>
    </xf>
    <xf numFmtId="39" fontId="41" fillId="0" borderId="25" xfId="0" applyFont="1" applyFill="1" applyBorder="1" applyAlignment="1" applyProtection="1">
      <alignment/>
      <protection/>
    </xf>
    <xf numFmtId="39" fontId="41" fillId="0" borderId="26" xfId="0" applyFont="1" applyFill="1" applyBorder="1" applyAlignment="1" applyProtection="1">
      <alignment/>
      <protection/>
    </xf>
    <xf numFmtId="39" fontId="6" fillId="0" borderId="24" xfId="0" applyFont="1" applyFill="1" applyBorder="1" applyAlignment="1" applyProtection="1">
      <alignment/>
      <protection/>
    </xf>
    <xf numFmtId="39" fontId="6" fillId="0" borderId="17" xfId="0" applyFont="1" applyFill="1" applyBorder="1" applyAlignment="1" applyProtection="1">
      <alignment/>
      <protection/>
    </xf>
    <xf numFmtId="39" fontId="6" fillId="0" borderId="18" xfId="0" applyFont="1" applyFill="1" applyBorder="1" applyAlignment="1" applyProtection="1">
      <alignment/>
      <protection/>
    </xf>
    <xf numFmtId="39" fontId="27" fillId="0" borderId="24" xfId="0" applyFont="1" applyFill="1" applyBorder="1" applyAlignment="1" applyProtection="1">
      <alignment/>
      <protection/>
    </xf>
    <xf numFmtId="39" fontId="27" fillId="0" borderId="0" xfId="0" applyFont="1" applyFill="1" applyAlignment="1" applyProtection="1">
      <alignment/>
      <protection/>
    </xf>
    <xf numFmtId="39" fontId="27" fillId="35" borderId="17" xfId="0" applyFont="1" applyFill="1" applyBorder="1" applyAlignment="1" applyProtection="1">
      <alignment/>
      <protection/>
    </xf>
    <xf numFmtId="39" fontId="6" fillId="0" borderId="0" xfId="0" applyFont="1" applyFill="1" applyBorder="1" applyAlignment="1" applyProtection="1">
      <alignment/>
      <protection/>
    </xf>
    <xf numFmtId="39" fontId="6" fillId="0" borderId="15" xfId="0" applyFont="1" applyFill="1" applyBorder="1" applyAlignment="1" applyProtection="1">
      <alignment/>
      <protection/>
    </xf>
    <xf numFmtId="39" fontId="13" fillId="0" borderId="15" xfId="0" applyFont="1" applyFill="1" applyBorder="1" applyAlignment="1" applyProtection="1">
      <alignment/>
      <protection/>
    </xf>
    <xf numFmtId="39" fontId="13" fillId="0" borderId="0" xfId="0" applyFont="1" applyFill="1" applyAlignment="1" applyProtection="1">
      <alignment/>
      <protection/>
    </xf>
    <xf numFmtId="39" fontId="14" fillId="0" borderId="0" xfId="0" applyFont="1" applyFill="1" applyAlignment="1" applyProtection="1">
      <alignment/>
      <protection/>
    </xf>
    <xf numFmtId="39" fontId="24" fillId="0" borderId="12" xfId="0" applyFont="1" applyFill="1" applyBorder="1" applyAlignment="1" applyProtection="1">
      <alignment/>
      <protection/>
    </xf>
    <xf numFmtId="39" fontId="18" fillId="0" borderId="17" xfId="0" applyFont="1" applyFill="1" applyBorder="1" applyAlignment="1" applyProtection="1">
      <alignment/>
      <protection/>
    </xf>
    <xf numFmtId="39" fontId="5" fillId="0" borderId="0" xfId="0" applyFont="1" applyFill="1" applyAlignment="1" applyProtection="1">
      <alignment/>
      <protection/>
    </xf>
    <xf numFmtId="39" fontId="20" fillId="0" borderId="24" xfId="0" applyFont="1" applyFill="1" applyBorder="1" applyAlignment="1" applyProtection="1">
      <alignment/>
      <protection/>
    </xf>
    <xf numFmtId="39" fontId="8" fillId="0" borderId="0" xfId="0" applyFont="1" applyBorder="1" applyAlignment="1" applyProtection="1">
      <alignment/>
      <protection/>
    </xf>
    <xf numFmtId="193" fontId="49" fillId="0" borderId="24" xfId="0" applyNumberFormat="1" applyFont="1" applyFill="1" applyBorder="1" applyAlignment="1" applyProtection="1">
      <alignment horizontal="center"/>
      <protection hidden="1" locked="0"/>
    </xf>
    <xf numFmtId="39" fontId="27" fillId="0" borderId="24" xfId="0" applyFont="1" applyFill="1" applyBorder="1" applyAlignment="1" applyProtection="1">
      <alignment/>
      <protection/>
    </xf>
    <xf numFmtId="39" fontId="27" fillId="0" borderId="0" xfId="0" applyFont="1" applyFill="1" applyBorder="1" applyAlignment="1" applyProtection="1">
      <alignment/>
      <protection/>
    </xf>
    <xf numFmtId="39" fontId="27" fillId="35" borderId="17" xfId="0" applyFont="1" applyFill="1" applyBorder="1" applyAlignment="1" applyProtection="1">
      <alignment/>
      <protection/>
    </xf>
    <xf numFmtId="39" fontId="9" fillId="36" borderId="27" xfId="0" applyFont="1" applyFill="1" applyBorder="1" applyAlignment="1" applyProtection="1">
      <alignment/>
      <protection/>
    </xf>
    <xf numFmtId="39" fontId="6" fillId="36" borderId="28" xfId="0" applyFont="1" applyFill="1" applyBorder="1" applyAlignment="1" applyProtection="1">
      <alignment/>
      <protection/>
    </xf>
    <xf numFmtId="39" fontId="6" fillId="36" borderId="29" xfId="0" applyFont="1" applyFill="1" applyBorder="1" applyAlignment="1" applyProtection="1">
      <alignment/>
      <protection/>
    </xf>
    <xf numFmtId="39" fontId="28" fillId="36" borderId="30" xfId="0" applyFont="1" applyFill="1" applyBorder="1" applyAlignment="1" applyProtection="1">
      <alignment/>
      <protection/>
    </xf>
    <xf numFmtId="39" fontId="29" fillId="36" borderId="0" xfId="0" applyFont="1" applyFill="1" applyBorder="1" applyAlignment="1" applyProtection="1">
      <alignment/>
      <protection/>
    </xf>
    <xf numFmtId="39" fontId="29" fillId="36" borderId="31" xfId="0" applyFont="1" applyFill="1" applyBorder="1" applyAlignment="1" applyProtection="1">
      <alignment/>
      <protection/>
    </xf>
    <xf numFmtId="39" fontId="28" fillId="36" borderId="21" xfId="0" applyFont="1" applyFill="1" applyBorder="1" applyAlignment="1" applyProtection="1">
      <alignment/>
      <protection/>
    </xf>
    <xf numFmtId="187" fontId="28" fillId="36" borderId="32" xfId="0" applyNumberFormat="1" applyFont="1" applyFill="1" applyBorder="1" applyAlignment="1" applyProtection="1">
      <alignment/>
      <protection/>
    </xf>
    <xf numFmtId="39" fontId="50" fillId="36" borderId="30" xfId="0" applyFont="1" applyFill="1" applyBorder="1" applyAlignment="1" applyProtection="1">
      <alignment/>
      <protection/>
    </xf>
    <xf numFmtId="194" fontId="42" fillId="36" borderId="31" xfId="0" applyNumberFormat="1" applyFont="1" applyFill="1" applyBorder="1" applyAlignment="1" applyProtection="1">
      <alignment/>
      <protection/>
    </xf>
    <xf numFmtId="39" fontId="28" fillId="36" borderId="33" xfId="0" applyFont="1" applyFill="1" applyBorder="1" applyAlignment="1" applyProtection="1">
      <alignment/>
      <protection/>
    </xf>
    <xf numFmtId="39" fontId="28" fillId="36" borderId="34" xfId="0" applyFont="1" applyFill="1" applyBorder="1" applyAlignment="1" applyProtection="1">
      <alignment/>
      <protection/>
    </xf>
    <xf numFmtId="189" fontId="42" fillId="36" borderId="35" xfId="0" applyNumberFormat="1" applyFont="1" applyFill="1" applyBorder="1" applyAlignment="1" applyProtection="1">
      <alignment/>
      <protection/>
    </xf>
    <xf numFmtId="39" fontId="27" fillId="0" borderId="36" xfId="0" applyFont="1" applyFill="1" applyBorder="1" applyAlignment="1" applyProtection="1">
      <alignment/>
      <protection/>
    </xf>
    <xf numFmtId="39" fontId="27" fillId="35" borderId="37" xfId="0" applyFont="1" applyFill="1" applyBorder="1" applyAlignment="1" applyProtection="1">
      <alignment/>
      <protection/>
    </xf>
    <xf numFmtId="39" fontId="27" fillId="35" borderId="38" xfId="0" applyFont="1" applyFill="1" applyBorder="1" applyAlignment="1" applyProtection="1">
      <alignment/>
      <protection/>
    </xf>
    <xf numFmtId="39" fontId="27" fillId="35" borderId="39" xfId="0" applyFont="1" applyFill="1" applyBorder="1" applyAlignment="1" applyProtection="1">
      <alignment/>
      <protection/>
    </xf>
    <xf numFmtId="39" fontId="27" fillId="35" borderId="40" xfId="0" applyFont="1" applyFill="1" applyBorder="1" applyAlignment="1" applyProtection="1">
      <alignment/>
      <protection/>
    </xf>
    <xf numFmtId="39" fontId="27" fillId="35" borderId="39" xfId="0" applyFont="1" applyFill="1" applyBorder="1" applyAlignment="1" applyProtection="1">
      <alignment/>
      <protection/>
    </xf>
    <xf numFmtId="39" fontId="27" fillId="35" borderId="41" xfId="0" applyFont="1" applyFill="1" applyBorder="1" applyAlignment="1" applyProtection="1">
      <alignment/>
      <protection/>
    </xf>
    <xf numFmtId="39" fontId="23" fillId="34" borderId="42" xfId="0" applyFont="1" applyFill="1" applyBorder="1" applyAlignment="1" applyProtection="1">
      <alignment/>
      <protection/>
    </xf>
    <xf numFmtId="39" fontId="9" fillId="0" borderId="43" xfId="0" applyFont="1" applyFill="1" applyBorder="1" applyAlignment="1" applyProtection="1">
      <alignment/>
      <protection/>
    </xf>
    <xf numFmtId="39" fontId="6" fillId="0" borderId="44" xfId="0" applyFont="1" applyFill="1" applyBorder="1" applyAlignment="1" applyProtection="1">
      <alignment/>
      <protection/>
    </xf>
    <xf numFmtId="192" fontId="9" fillId="0" borderId="44" xfId="0" applyNumberFormat="1" applyFont="1" applyFill="1" applyBorder="1" applyAlignment="1" applyProtection="1">
      <alignment horizontal="right"/>
      <protection/>
    </xf>
    <xf numFmtId="39" fontId="8" fillId="0" borderId="13" xfId="0" applyFont="1" applyBorder="1" applyAlignment="1" applyProtection="1">
      <alignment/>
      <protection/>
    </xf>
    <xf numFmtId="39" fontId="8" fillId="0" borderId="45" xfId="0" applyFont="1" applyBorder="1" applyAlignment="1" applyProtection="1">
      <alignment/>
      <protection/>
    </xf>
    <xf numFmtId="39" fontId="32" fillId="36" borderId="46" xfId="0" applyFont="1" applyFill="1" applyBorder="1" applyAlignment="1" applyProtection="1">
      <alignment/>
      <protection/>
    </xf>
    <xf numFmtId="39" fontId="26" fillId="0" borderId="47" xfId="0" applyFont="1" applyFill="1" applyBorder="1" applyAlignment="1" applyProtection="1">
      <alignment/>
      <protection/>
    </xf>
    <xf numFmtId="39" fontId="45" fillId="34" borderId="12" xfId="0" applyFont="1" applyFill="1" applyBorder="1" applyAlignment="1" applyProtection="1">
      <alignment/>
      <protection/>
    </xf>
    <xf numFmtId="39" fontId="0" fillId="0" borderId="0" xfId="62" applyProtection="1">
      <alignment/>
      <protection hidden="1"/>
    </xf>
    <xf numFmtId="39" fontId="59" fillId="0" borderId="0" xfId="62" applyFont="1" applyAlignment="1" applyProtection="1">
      <alignment horizontal="left"/>
      <protection hidden="1"/>
    </xf>
    <xf numFmtId="39" fontId="60" fillId="0" borderId="0" xfId="62" applyFont="1" applyAlignment="1" applyProtection="1">
      <alignment horizontal="center"/>
      <protection hidden="1"/>
    </xf>
    <xf numFmtId="39" fontId="60" fillId="0" borderId="0" xfId="62" applyFont="1" applyProtection="1">
      <alignment/>
      <protection hidden="1"/>
    </xf>
    <xf numFmtId="39" fontId="61" fillId="0" borderId="0" xfId="62" applyFont="1" applyAlignment="1" applyProtection="1">
      <alignment horizontal="left"/>
      <protection hidden="1"/>
    </xf>
    <xf numFmtId="39" fontId="62" fillId="0" borderId="0" xfId="62" applyFont="1" applyAlignment="1" applyProtection="1">
      <alignment horizontal="center"/>
      <protection hidden="1"/>
    </xf>
    <xf numFmtId="39" fontId="62" fillId="0" borderId="0" xfId="62" applyFont="1" applyProtection="1">
      <alignment/>
      <protection hidden="1"/>
    </xf>
    <xf numFmtId="39" fontId="16" fillId="0" borderId="0" xfId="54" applyNumberFormat="1" applyFont="1" applyAlignment="1" applyProtection="1">
      <alignment horizontal="left"/>
      <protection/>
    </xf>
    <xf numFmtId="39" fontId="63" fillId="0" borderId="10" xfId="62" applyFont="1" applyFill="1" applyBorder="1" applyProtection="1">
      <alignment/>
      <protection hidden="1"/>
    </xf>
    <xf numFmtId="39" fontId="64" fillId="0" borderId="11" xfId="62" applyFont="1" applyFill="1" applyBorder="1" applyAlignment="1" applyProtection="1">
      <alignment horizontal="center"/>
      <protection hidden="1"/>
    </xf>
    <xf numFmtId="39" fontId="64" fillId="0" borderId="48" xfId="62" applyFont="1" applyFill="1" applyBorder="1" applyAlignment="1" applyProtection="1">
      <alignment horizontal="center"/>
      <protection hidden="1"/>
    </xf>
    <xf numFmtId="39" fontId="65" fillId="34" borderId="49" xfId="62" applyFont="1" applyFill="1" applyBorder="1" applyAlignment="1" applyProtection="1">
      <alignment horizontal="center"/>
      <protection hidden="1"/>
    </xf>
    <xf numFmtId="39" fontId="65" fillId="0" borderId="24" xfId="62" applyFont="1" applyFill="1" applyBorder="1" applyProtection="1">
      <alignment/>
      <protection hidden="1"/>
    </xf>
    <xf numFmtId="39" fontId="57" fillId="0" borderId="36" xfId="62" applyFont="1" applyFill="1" applyBorder="1" applyProtection="1">
      <alignment/>
      <protection hidden="1"/>
    </xf>
    <xf numFmtId="39" fontId="57" fillId="0" borderId="0" xfId="62" applyFont="1" applyFill="1" applyBorder="1" applyProtection="1">
      <alignment/>
      <protection hidden="1"/>
    </xf>
    <xf numFmtId="39" fontId="34" fillId="0" borderId="0" xfId="62" applyFont="1" applyFill="1" applyAlignment="1" applyProtection="1">
      <alignment/>
      <protection hidden="1"/>
    </xf>
    <xf numFmtId="39" fontId="0" fillId="0" borderId="0" xfId="62" applyFont="1" applyProtection="1">
      <alignment/>
      <protection hidden="1"/>
    </xf>
    <xf numFmtId="39" fontId="63" fillId="0" borderId="13" xfId="62" applyFont="1" applyFill="1" applyBorder="1" applyAlignment="1" applyProtection="1">
      <alignment horizontal="center"/>
      <protection hidden="1"/>
    </xf>
    <xf numFmtId="39" fontId="64" fillId="0" borderId="12" xfId="62" applyFont="1" applyFill="1" applyBorder="1" applyAlignment="1" applyProtection="1">
      <alignment horizontal="center"/>
      <protection hidden="1"/>
    </xf>
    <xf numFmtId="39" fontId="64" fillId="0" borderId="50" xfId="62" applyFont="1" applyFill="1" applyBorder="1" applyAlignment="1" applyProtection="1">
      <alignment horizontal="center"/>
      <protection hidden="1"/>
    </xf>
    <xf numFmtId="39" fontId="65" fillId="34" borderId="51" xfId="62" applyFont="1" applyFill="1" applyBorder="1" applyAlignment="1" applyProtection="1">
      <alignment horizontal="center"/>
      <protection hidden="1"/>
    </xf>
    <xf numFmtId="39" fontId="35" fillId="0" borderId="0" xfId="62" applyFont="1" applyFill="1" applyAlignment="1" applyProtection="1">
      <alignment/>
      <protection hidden="1"/>
    </xf>
    <xf numFmtId="39" fontId="66" fillId="34" borderId="52" xfId="62" applyFont="1" applyFill="1" applyBorder="1" applyAlignment="1" applyProtection="1">
      <alignment/>
      <protection hidden="1"/>
    </xf>
    <xf numFmtId="39" fontId="67" fillId="34" borderId="20" xfId="62" applyFont="1" applyFill="1" applyBorder="1" applyAlignment="1" applyProtection="1">
      <alignment horizontal="right"/>
      <protection hidden="1"/>
    </xf>
    <xf numFmtId="39" fontId="68" fillId="34" borderId="20" xfId="62" applyFont="1" applyFill="1" applyBorder="1" applyAlignment="1" applyProtection="1">
      <alignment horizontal="center"/>
      <protection hidden="1"/>
    </xf>
    <xf numFmtId="39" fontId="69" fillId="33" borderId="29" xfId="62" applyNumberFormat="1" applyFont="1" applyFill="1" applyBorder="1" applyAlignment="1" applyProtection="1">
      <alignment horizontal="center"/>
      <protection locked="0"/>
    </xf>
    <xf numFmtId="39" fontId="70" fillId="0" borderId="0" xfId="62" applyFont="1" applyFill="1" applyBorder="1" applyProtection="1">
      <alignment/>
      <protection hidden="1"/>
    </xf>
    <xf numFmtId="39" fontId="71" fillId="0" borderId="53" xfId="62" applyFont="1" applyFill="1" applyBorder="1" applyProtection="1">
      <alignment/>
      <protection hidden="1"/>
    </xf>
    <xf numFmtId="39" fontId="72" fillId="0" borderId="0" xfId="62" applyFont="1" applyFill="1" applyBorder="1" applyProtection="1">
      <alignment/>
      <protection hidden="1"/>
    </xf>
    <xf numFmtId="39" fontId="36" fillId="0" borderId="0" xfId="62" applyFont="1" applyProtection="1">
      <alignment/>
      <protection hidden="1"/>
    </xf>
    <xf numFmtId="39" fontId="73" fillId="34" borderId="54" xfId="62" applyFont="1" applyFill="1" applyBorder="1" applyAlignment="1" applyProtection="1">
      <alignment/>
      <protection hidden="1"/>
    </xf>
    <xf numFmtId="39" fontId="67" fillId="34" borderId="55" xfId="62" applyFont="1" applyFill="1" applyBorder="1" applyAlignment="1" applyProtection="1">
      <alignment horizontal="right"/>
      <protection hidden="1"/>
    </xf>
    <xf numFmtId="39" fontId="76" fillId="34" borderId="55" xfId="62" applyFont="1" applyFill="1" applyBorder="1" applyAlignment="1" applyProtection="1">
      <alignment horizontal="center"/>
      <protection hidden="1"/>
    </xf>
    <xf numFmtId="39" fontId="77" fillId="33" borderId="31" xfId="62" applyNumberFormat="1" applyFont="1" applyFill="1" applyBorder="1" applyAlignment="1" applyProtection="1">
      <alignment horizontal="right"/>
      <protection locked="0"/>
    </xf>
    <xf numFmtId="39" fontId="71" fillId="0" borderId="53" xfId="62" applyFont="1" applyBorder="1" applyProtection="1">
      <alignment/>
      <protection hidden="1"/>
    </xf>
    <xf numFmtId="39" fontId="37" fillId="0" borderId="0" xfId="62" applyFont="1" applyFill="1" applyProtection="1">
      <alignment/>
      <protection hidden="1"/>
    </xf>
    <xf numFmtId="202" fontId="77" fillId="33" borderId="31" xfId="62" applyNumberFormat="1" applyFont="1" applyFill="1" applyBorder="1" applyAlignment="1" applyProtection="1">
      <alignment horizontal="right"/>
      <protection locked="0"/>
    </xf>
    <xf numFmtId="39" fontId="78" fillId="0" borderId="0" xfId="62" applyFont="1" applyFill="1" applyBorder="1" applyProtection="1">
      <alignment/>
      <protection hidden="1"/>
    </xf>
    <xf numFmtId="39" fontId="38" fillId="0" borderId="0" xfId="62" applyFont="1" applyFill="1" applyAlignment="1" applyProtection="1">
      <alignment/>
      <protection hidden="1"/>
    </xf>
    <xf numFmtId="39" fontId="0" fillId="0" borderId="0" xfId="62" applyFont="1" applyFill="1" applyProtection="1">
      <alignment/>
      <protection hidden="1"/>
    </xf>
    <xf numFmtId="39" fontId="23" fillId="0" borderId="0" xfId="62" applyFont="1" applyFill="1" applyBorder="1" applyAlignment="1" applyProtection="1">
      <alignment/>
      <protection hidden="1"/>
    </xf>
    <xf numFmtId="39" fontId="39" fillId="0" borderId="0" xfId="62" applyFont="1" applyProtection="1">
      <alignment/>
      <protection hidden="1"/>
    </xf>
    <xf numFmtId="39" fontId="73" fillId="34" borderId="56" xfId="62" applyFont="1" applyFill="1" applyBorder="1" applyAlignment="1" applyProtection="1">
      <alignment/>
      <protection hidden="1"/>
    </xf>
    <xf numFmtId="39" fontId="67" fillId="34" borderId="57" xfId="62" applyFont="1" applyFill="1" applyBorder="1" applyAlignment="1" applyProtection="1">
      <alignment horizontal="right"/>
      <protection hidden="1"/>
    </xf>
    <xf numFmtId="39" fontId="76" fillId="34" borderId="57" xfId="62" applyFont="1" applyFill="1" applyBorder="1" applyAlignment="1" applyProtection="1">
      <alignment horizontal="center"/>
      <protection hidden="1"/>
    </xf>
    <xf numFmtId="39" fontId="80" fillId="0" borderId="0" xfId="62" applyFont="1" applyFill="1" applyAlignment="1" applyProtection="1">
      <alignment/>
      <protection hidden="1"/>
    </xf>
    <xf numFmtId="39" fontId="81" fillId="0" borderId="0" xfId="62" applyFont="1" applyProtection="1">
      <alignment/>
      <protection hidden="1"/>
    </xf>
    <xf numFmtId="39" fontId="57" fillId="37" borderId="13" xfId="62" applyFont="1" applyFill="1" applyBorder="1" applyAlignment="1" applyProtection="1">
      <alignment/>
      <protection hidden="1"/>
    </xf>
    <xf numFmtId="39" fontId="57" fillId="37" borderId="12" xfId="62" applyFont="1" applyFill="1" applyBorder="1" applyAlignment="1" applyProtection="1">
      <alignment horizontal="right"/>
      <protection hidden="1"/>
    </xf>
    <xf numFmtId="39" fontId="0" fillId="37" borderId="58" xfId="62" applyFill="1" applyBorder="1" applyAlignment="1" applyProtection="1">
      <alignment horizontal="center"/>
      <protection hidden="1"/>
    </xf>
    <xf numFmtId="39" fontId="57" fillId="37" borderId="0" xfId="62" applyFont="1" applyFill="1" applyBorder="1" applyProtection="1">
      <alignment/>
      <protection hidden="1"/>
    </xf>
    <xf numFmtId="39" fontId="55" fillId="0" borderId="12" xfId="62" applyFont="1" applyFill="1" applyBorder="1" applyAlignment="1" applyProtection="1">
      <alignment/>
      <protection hidden="1"/>
    </xf>
    <xf numFmtId="39" fontId="82" fillId="0" borderId="53" xfId="62" applyFont="1" applyFill="1" applyBorder="1" applyProtection="1">
      <alignment/>
      <protection hidden="1"/>
    </xf>
    <xf numFmtId="39" fontId="57" fillId="37" borderId="13" xfId="62" applyFont="1" applyFill="1" applyBorder="1" applyAlignment="1" applyProtection="1">
      <alignment horizontal="left"/>
      <protection hidden="1"/>
    </xf>
    <xf numFmtId="39" fontId="57" fillId="37" borderId="12" xfId="62" applyFont="1" applyFill="1" applyBorder="1" applyProtection="1">
      <alignment/>
      <protection hidden="1"/>
    </xf>
    <xf numFmtId="39" fontId="0" fillId="37" borderId="59" xfId="62" applyFill="1" applyBorder="1" applyAlignment="1" applyProtection="1">
      <alignment horizontal="center"/>
      <protection hidden="1"/>
    </xf>
    <xf numFmtId="39" fontId="57" fillId="0" borderId="10" xfId="62" applyFont="1" applyFill="1" applyBorder="1" applyProtection="1">
      <alignment/>
      <protection hidden="1"/>
    </xf>
    <xf numFmtId="39" fontId="57" fillId="0" borderId="24" xfId="62" applyFont="1" applyFill="1" applyBorder="1" applyProtection="1">
      <alignment/>
      <protection hidden="1"/>
    </xf>
    <xf numFmtId="39" fontId="57" fillId="0" borderId="24" xfId="62" applyFont="1" applyFill="1" applyBorder="1" applyAlignment="1" applyProtection="1">
      <alignment horizontal="center"/>
      <protection hidden="1"/>
    </xf>
    <xf numFmtId="39" fontId="83" fillId="0" borderId="24" xfId="62" applyFont="1" applyFill="1" applyBorder="1" applyProtection="1">
      <alignment/>
      <protection hidden="1"/>
    </xf>
    <xf numFmtId="39" fontId="83" fillId="0" borderId="36" xfId="62" applyFont="1" applyFill="1" applyBorder="1" applyProtection="1">
      <alignment/>
      <protection hidden="1"/>
    </xf>
    <xf numFmtId="39" fontId="84" fillId="0" borderId="13" xfId="62" applyFont="1" applyFill="1" applyBorder="1" applyAlignment="1" applyProtection="1">
      <alignment/>
      <protection hidden="1"/>
    </xf>
    <xf numFmtId="39" fontId="0" fillId="0" borderId="0" xfId="62" applyBorder="1" applyProtection="1">
      <alignment/>
      <protection hidden="1"/>
    </xf>
    <xf numFmtId="39" fontId="0" fillId="0" borderId="0" xfId="62" applyBorder="1" applyAlignment="1" applyProtection="1">
      <alignment horizontal="center"/>
      <protection hidden="1"/>
    </xf>
    <xf numFmtId="39" fontId="83" fillId="0" borderId="0" xfId="62" applyFont="1" applyBorder="1" applyProtection="1">
      <alignment/>
      <protection hidden="1"/>
    </xf>
    <xf numFmtId="39" fontId="83" fillId="0" borderId="53" xfId="62" applyFont="1" applyBorder="1" applyProtection="1">
      <alignment/>
      <protection hidden="1"/>
    </xf>
    <xf numFmtId="39" fontId="85" fillId="35" borderId="52" xfId="62" applyFont="1" applyFill="1" applyBorder="1" applyAlignment="1" applyProtection="1">
      <alignment/>
      <protection hidden="1"/>
    </xf>
    <xf numFmtId="39" fontId="86" fillId="35" borderId="20" xfId="62" applyFont="1" applyFill="1" applyBorder="1" applyAlignment="1" applyProtection="1">
      <alignment horizontal="center"/>
      <protection hidden="1"/>
    </xf>
    <xf numFmtId="39" fontId="86" fillId="35" borderId="29" xfId="62" applyFont="1" applyFill="1" applyBorder="1" applyAlignment="1" applyProtection="1">
      <alignment horizontal="center"/>
      <protection hidden="1"/>
    </xf>
    <xf numFmtId="39" fontId="87" fillId="35" borderId="20" xfId="62" applyFont="1" applyFill="1" applyBorder="1" applyAlignment="1" applyProtection="1">
      <alignment horizontal="center"/>
      <protection hidden="1"/>
    </xf>
    <xf numFmtId="39" fontId="23" fillId="0" borderId="24" xfId="62" applyFont="1" applyFill="1" applyBorder="1" applyAlignment="1" applyProtection="1">
      <alignment/>
      <protection hidden="1"/>
    </xf>
    <xf numFmtId="39" fontId="88" fillId="0" borderId="36" xfId="62" applyFont="1" applyFill="1" applyBorder="1" applyProtection="1">
      <alignment/>
      <protection hidden="1"/>
    </xf>
    <xf numFmtId="39" fontId="89" fillId="35" borderId="54" xfId="62" applyFont="1" applyFill="1" applyBorder="1" applyAlignment="1" applyProtection="1">
      <alignment/>
      <protection hidden="1"/>
    </xf>
    <xf numFmtId="39" fontId="90" fillId="35" borderId="55" xfId="62" applyFont="1" applyFill="1" applyBorder="1" applyAlignment="1" applyProtection="1">
      <alignment horizontal="center"/>
      <protection hidden="1"/>
    </xf>
    <xf numFmtId="39" fontId="91" fillId="35" borderId="31" xfId="62" applyFont="1" applyFill="1" applyBorder="1" applyAlignment="1" applyProtection="1">
      <alignment horizontal="center"/>
      <protection hidden="1"/>
    </xf>
    <xf numFmtId="39" fontId="92" fillId="35" borderId="55" xfId="62" applyFont="1" applyFill="1" applyBorder="1" applyAlignment="1" applyProtection="1">
      <alignment horizontal="right"/>
      <protection hidden="1"/>
    </xf>
    <xf numFmtId="39" fontId="70" fillId="0" borderId="53" xfId="62" applyFont="1" applyFill="1" applyBorder="1" applyProtection="1">
      <alignment/>
      <protection hidden="1"/>
    </xf>
    <xf numFmtId="39" fontId="87" fillId="36" borderId="13" xfId="62" applyFont="1" applyFill="1" applyBorder="1" applyAlignment="1" applyProtection="1">
      <alignment/>
      <protection hidden="1"/>
    </xf>
    <xf numFmtId="39" fontId="93" fillId="36" borderId="55" xfId="62" applyFont="1" applyFill="1" applyBorder="1" applyAlignment="1" applyProtection="1">
      <alignment horizontal="center"/>
      <protection hidden="1"/>
    </xf>
    <xf numFmtId="39" fontId="94" fillId="36" borderId="31" xfId="62" applyFont="1" applyFill="1" applyBorder="1" applyAlignment="1" applyProtection="1">
      <alignment horizontal="center"/>
      <protection hidden="1"/>
    </xf>
    <xf numFmtId="39" fontId="95" fillId="36" borderId="55" xfId="62" applyFont="1" applyFill="1" applyBorder="1" applyAlignment="1" applyProtection="1">
      <alignment horizontal="right"/>
      <protection hidden="1"/>
    </xf>
    <xf numFmtId="39" fontId="91" fillId="35" borderId="56" xfId="62" applyFont="1" applyFill="1" applyBorder="1" applyAlignment="1" applyProtection="1">
      <alignment/>
      <protection hidden="1"/>
    </xf>
    <xf numFmtId="39" fontId="90" fillId="35" borderId="57" xfId="62" applyFont="1" applyFill="1" applyBorder="1" applyAlignment="1" applyProtection="1">
      <alignment horizontal="center"/>
      <protection hidden="1"/>
    </xf>
    <xf numFmtId="39" fontId="91" fillId="35" borderId="35" xfId="62" applyFont="1" applyFill="1" applyBorder="1" applyAlignment="1" applyProtection="1">
      <alignment horizontal="center"/>
      <protection hidden="1"/>
    </xf>
    <xf numFmtId="39" fontId="92" fillId="35" borderId="57" xfId="62" applyFont="1" applyFill="1" applyBorder="1" applyAlignment="1" applyProtection="1">
      <alignment horizontal="right"/>
      <protection hidden="1"/>
    </xf>
    <xf numFmtId="39" fontId="57" fillId="37" borderId="12" xfId="62" applyFont="1" applyFill="1" applyBorder="1" applyAlignment="1" applyProtection="1">
      <alignment/>
      <protection hidden="1"/>
    </xf>
    <xf numFmtId="39" fontId="0" fillId="37" borderId="0" xfId="62" applyFill="1" applyBorder="1" applyAlignment="1" applyProtection="1">
      <alignment horizontal="center"/>
      <protection hidden="1"/>
    </xf>
    <xf numFmtId="188" fontId="57" fillId="37" borderId="13" xfId="62" applyNumberFormat="1" applyFont="1" applyFill="1" applyBorder="1" applyProtection="1">
      <alignment/>
      <protection hidden="1"/>
    </xf>
    <xf numFmtId="39" fontId="70" fillId="0" borderId="12" xfId="62" applyFont="1" applyFill="1" applyBorder="1" applyProtection="1">
      <alignment/>
      <protection hidden="1"/>
    </xf>
    <xf numFmtId="39" fontId="73" fillId="34" borderId="23" xfId="62" applyFont="1" applyFill="1" applyBorder="1" applyAlignment="1" applyProtection="1">
      <alignment/>
      <protection hidden="1"/>
    </xf>
    <xf numFmtId="39" fontId="77" fillId="33" borderId="15" xfId="62" applyFont="1" applyFill="1" applyBorder="1" applyProtection="1">
      <alignment/>
      <protection locked="0"/>
    </xf>
    <xf numFmtId="39" fontId="96" fillId="35" borderId="15" xfId="62" applyFont="1" applyFill="1" applyBorder="1" applyAlignment="1" applyProtection="1">
      <alignment horizontal="center"/>
      <protection hidden="1"/>
    </xf>
    <xf numFmtId="39" fontId="96" fillId="35" borderId="15" xfId="62" applyNumberFormat="1" applyFont="1" applyFill="1" applyBorder="1" applyProtection="1">
      <alignment/>
      <protection hidden="1"/>
    </xf>
    <xf numFmtId="39" fontId="23" fillId="0" borderId="60" xfId="62" applyFont="1" applyFill="1" applyBorder="1" applyAlignment="1" applyProtection="1">
      <alignment/>
      <protection hidden="1"/>
    </xf>
    <xf numFmtId="39" fontId="88" fillId="0" borderId="61" xfId="62" applyFont="1" applyFill="1" applyBorder="1" applyProtection="1">
      <alignment/>
      <protection hidden="1"/>
    </xf>
    <xf numFmtId="39" fontId="97" fillId="0" borderId="24" xfId="62" applyFont="1" applyFill="1" applyBorder="1" applyProtection="1">
      <alignment/>
      <protection hidden="1"/>
    </xf>
    <xf numFmtId="39" fontId="97" fillId="0" borderId="36" xfId="62" applyFont="1" applyFill="1" applyBorder="1" applyProtection="1">
      <alignment/>
      <protection hidden="1"/>
    </xf>
    <xf numFmtId="39" fontId="98" fillId="0" borderId="13" xfId="62" applyFont="1" applyFill="1" applyBorder="1" applyAlignment="1" applyProtection="1">
      <alignment/>
      <protection hidden="1"/>
    </xf>
    <xf numFmtId="39" fontId="0" fillId="0" borderId="0" xfId="62" applyBorder="1" applyAlignment="1" applyProtection="1">
      <alignment horizontal="left"/>
      <protection hidden="1"/>
    </xf>
    <xf numFmtId="39" fontId="99" fillId="0" borderId="0" xfId="62" applyFont="1" applyBorder="1" applyProtection="1">
      <alignment/>
      <protection hidden="1"/>
    </xf>
    <xf numFmtId="39" fontId="99" fillId="0" borderId="53" xfId="62" applyFont="1" applyBorder="1" applyProtection="1">
      <alignment/>
      <protection hidden="1"/>
    </xf>
    <xf numFmtId="39" fontId="66" fillId="34" borderId="62" xfId="62" applyFont="1" applyFill="1" applyBorder="1" applyAlignment="1" applyProtection="1">
      <alignment/>
      <protection hidden="1"/>
    </xf>
    <xf numFmtId="39" fontId="100" fillId="34" borderId="20" xfId="62" applyFont="1" applyFill="1" applyBorder="1" applyAlignment="1" applyProtection="1">
      <alignment horizontal="right"/>
      <protection hidden="1"/>
    </xf>
    <xf numFmtId="39" fontId="101" fillId="34" borderId="29" xfId="62" applyFont="1" applyFill="1" applyBorder="1" applyAlignment="1" applyProtection="1">
      <alignment horizontal="center"/>
      <protection hidden="1"/>
    </xf>
    <xf numFmtId="39" fontId="57" fillId="33" borderId="20" xfId="62" applyFont="1" applyFill="1" applyBorder="1" applyProtection="1">
      <alignment/>
      <protection locked="0"/>
    </xf>
    <xf numFmtId="39" fontId="23" fillId="0" borderId="28" xfId="62" applyFont="1" applyFill="1" applyBorder="1" applyAlignment="1" applyProtection="1">
      <alignment/>
      <protection hidden="1"/>
    </xf>
    <xf numFmtId="39" fontId="88" fillId="0" borderId="63" xfId="62" applyFont="1" applyFill="1" applyBorder="1" applyProtection="1">
      <alignment/>
      <protection hidden="1"/>
    </xf>
    <xf numFmtId="39" fontId="73" fillId="34" borderId="13" xfId="62" applyFont="1" applyFill="1" applyBorder="1" applyAlignment="1" applyProtection="1">
      <alignment/>
      <protection hidden="1"/>
    </xf>
    <xf numFmtId="39" fontId="76" fillId="34" borderId="31" xfId="62" applyFont="1" applyFill="1" applyBorder="1" applyAlignment="1" applyProtection="1">
      <alignment horizontal="center"/>
      <protection hidden="1"/>
    </xf>
    <xf numFmtId="39" fontId="77" fillId="33" borderId="55" xfId="62" applyFont="1" applyFill="1" applyBorder="1" applyProtection="1">
      <alignment/>
      <protection locked="0"/>
    </xf>
    <xf numFmtId="39" fontId="73" fillId="34" borderId="64" xfId="62" applyFont="1" applyFill="1" applyBorder="1" applyAlignment="1" applyProtection="1">
      <alignment/>
      <protection hidden="1"/>
    </xf>
    <xf numFmtId="39" fontId="76" fillId="34" borderId="35" xfId="62" applyFont="1" applyFill="1" applyBorder="1" applyAlignment="1" applyProtection="1">
      <alignment horizontal="center"/>
      <protection hidden="1"/>
    </xf>
    <xf numFmtId="39" fontId="77" fillId="33" borderId="57" xfId="62" applyFont="1" applyFill="1" applyBorder="1" applyProtection="1">
      <alignment/>
      <protection locked="0"/>
    </xf>
    <xf numFmtId="39" fontId="70" fillId="0" borderId="34" xfId="62" applyFont="1" applyFill="1" applyBorder="1" applyProtection="1">
      <alignment/>
      <protection hidden="1"/>
    </xf>
    <xf numFmtId="39" fontId="70" fillId="0" borderId="65" xfId="62" applyFont="1" applyFill="1" applyBorder="1" applyProtection="1">
      <alignment/>
      <protection hidden="1"/>
    </xf>
    <xf numFmtId="39" fontId="102" fillId="35" borderId="62" xfId="62" applyFont="1" applyFill="1" applyBorder="1" applyAlignment="1" applyProtection="1">
      <alignment/>
      <protection hidden="1"/>
    </xf>
    <xf numFmtId="39" fontId="103" fillId="35" borderId="20" xfId="62" applyFont="1" applyFill="1" applyBorder="1" applyAlignment="1" applyProtection="1">
      <alignment horizontal="center"/>
      <protection hidden="1"/>
    </xf>
    <xf numFmtId="39" fontId="87" fillId="35" borderId="20" xfId="62" applyFont="1" applyFill="1" applyBorder="1" applyProtection="1">
      <alignment/>
      <protection hidden="1"/>
    </xf>
    <xf numFmtId="39" fontId="104" fillId="35" borderId="13" xfId="62" applyFont="1" applyFill="1" applyBorder="1" applyAlignment="1" applyProtection="1">
      <alignment/>
      <protection hidden="1"/>
    </xf>
    <xf numFmtId="39" fontId="87" fillId="35" borderId="55" xfId="62" applyFont="1" applyFill="1" applyBorder="1" applyProtection="1">
      <alignment/>
      <protection hidden="1"/>
    </xf>
    <xf numFmtId="39" fontId="70" fillId="0" borderId="0" xfId="62" applyFont="1" applyFill="1" applyBorder="1" applyAlignment="1" applyProtection="1">
      <alignment/>
      <protection hidden="1"/>
    </xf>
    <xf numFmtId="39" fontId="105" fillId="36" borderId="13" xfId="62" applyFont="1" applyFill="1" applyBorder="1" applyAlignment="1" applyProtection="1">
      <alignment/>
      <protection hidden="1"/>
    </xf>
    <xf numFmtId="39" fontId="105" fillId="36" borderId="55" xfId="62" applyFont="1" applyFill="1" applyBorder="1" applyProtection="1">
      <alignment/>
      <protection hidden="1"/>
    </xf>
    <xf numFmtId="39" fontId="104" fillId="35" borderId="64" xfId="62" applyFont="1" applyFill="1" applyBorder="1" applyAlignment="1" applyProtection="1">
      <alignment/>
      <protection hidden="1"/>
    </xf>
    <xf numFmtId="39" fontId="87" fillId="35" borderId="57" xfId="62" applyFont="1" applyFill="1" applyBorder="1" applyProtection="1">
      <alignment/>
      <protection hidden="1"/>
    </xf>
    <xf numFmtId="39" fontId="57" fillId="37" borderId="12" xfId="62" applyFont="1" applyFill="1" applyBorder="1" applyAlignment="1" applyProtection="1">
      <alignment/>
      <protection hidden="1"/>
    </xf>
    <xf numFmtId="39" fontId="37" fillId="37" borderId="0" xfId="62" applyFont="1" applyFill="1" applyBorder="1" applyAlignment="1" applyProtection="1">
      <alignment horizontal="center"/>
      <protection hidden="1"/>
    </xf>
    <xf numFmtId="39" fontId="57" fillId="37" borderId="13" xfId="62" applyFont="1" applyFill="1" applyBorder="1" applyProtection="1">
      <alignment/>
      <protection hidden="1"/>
    </xf>
    <xf numFmtId="39" fontId="100" fillId="34" borderId="20" xfId="62" applyFont="1" applyFill="1" applyBorder="1" applyProtection="1">
      <alignment/>
      <protection hidden="1"/>
    </xf>
    <xf numFmtId="39" fontId="57" fillId="33" borderId="27" xfId="62" applyFont="1" applyFill="1" applyBorder="1" applyProtection="1">
      <alignment/>
      <protection locked="0"/>
    </xf>
    <xf numFmtId="39" fontId="88" fillId="0" borderId="27" xfId="62" applyFont="1" applyFill="1" applyBorder="1" applyProtection="1">
      <alignment/>
      <protection hidden="1"/>
    </xf>
    <xf numFmtId="39" fontId="77" fillId="33" borderId="30" xfId="62" applyFont="1" applyFill="1" applyBorder="1" applyProtection="1">
      <alignment/>
      <protection locked="0"/>
    </xf>
    <xf numFmtId="39" fontId="23" fillId="0" borderId="30" xfId="62" applyFont="1" applyFill="1" applyBorder="1" applyAlignment="1" applyProtection="1">
      <alignment/>
      <protection hidden="1"/>
    </xf>
    <xf numFmtId="39" fontId="88" fillId="0" borderId="53" xfId="62" applyFont="1" applyFill="1" applyBorder="1" applyProtection="1">
      <alignment/>
      <protection hidden="1"/>
    </xf>
    <xf numFmtId="39" fontId="70" fillId="0" borderId="30" xfId="62" applyFont="1" applyFill="1" applyBorder="1" applyProtection="1">
      <alignment/>
      <protection hidden="1"/>
    </xf>
    <xf numFmtId="39" fontId="0" fillId="0" borderId="53" xfId="62" applyBorder="1" applyProtection="1">
      <alignment/>
      <protection hidden="1"/>
    </xf>
    <xf numFmtId="39" fontId="102" fillId="35" borderId="54" xfId="62" applyFont="1" applyFill="1" applyBorder="1" applyAlignment="1" applyProtection="1">
      <alignment/>
      <protection hidden="1"/>
    </xf>
    <xf numFmtId="39" fontId="106" fillId="35" borderId="20" xfId="62" applyFont="1" applyFill="1" applyBorder="1" applyAlignment="1" applyProtection="1">
      <alignment horizontal="center"/>
      <protection hidden="1"/>
    </xf>
    <xf numFmtId="39" fontId="57" fillId="35" borderId="31" xfId="62" applyFont="1" applyFill="1" applyBorder="1" applyAlignment="1" applyProtection="1">
      <alignment horizontal="center"/>
      <protection hidden="1"/>
    </xf>
    <xf numFmtId="39" fontId="51" fillId="0" borderId="0" xfId="62" applyFont="1" applyBorder="1" applyProtection="1">
      <alignment/>
      <protection hidden="1"/>
    </xf>
    <xf numFmtId="39" fontId="17" fillId="35" borderId="54" xfId="62" applyFont="1" applyFill="1" applyBorder="1" applyAlignment="1" applyProtection="1">
      <alignment/>
      <protection hidden="1"/>
    </xf>
    <xf numFmtId="39" fontId="38" fillId="35" borderId="55" xfId="62" applyFont="1" applyFill="1" applyBorder="1" applyAlignment="1" applyProtection="1">
      <alignment horizontal="center"/>
      <protection hidden="1"/>
    </xf>
    <xf numFmtId="39" fontId="104" fillId="35" borderId="31" xfId="62" applyFont="1" applyFill="1" applyBorder="1" applyAlignment="1" applyProtection="1">
      <alignment horizontal="center"/>
      <protection hidden="1"/>
    </xf>
    <xf numFmtId="39" fontId="104" fillId="35" borderId="54" xfId="62" applyFont="1" applyFill="1" applyBorder="1" applyAlignment="1" applyProtection="1">
      <alignment/>
      <protection hidden="1"/>
    </xf>
    <xf numFmtId="39" fontId="105" fillId="36" borderId="54" xfId="62" applyFont="1" applyFill="1" applyBorder="1" applyAlignment="1" applyProtection="1">
      <alignment/>
      <protection hidden="1"/>
    </xf>
    <xf numFmtId="39" fontId="107" fillId="36" borderId="55" xfId="62" applyFont="1" applyFill="1" applyBorder="1" applyAlignment="1" applyProtection="1">
      <alignment horizontal="center"/>
      <protection hidden="1"/>
    </xf>
    <xf numFmtId="39" fontId="87" fillId="36" borderId="31" xfId="62" applyFont="1" applyFill="1" applyBorder="1" applyAlignment="1" applyProtection="1">
      <alignment horizontal="center"/>
      <protection hidden="1"/>
    </xf>
    <xf numFmtId="39" fontId="104" fillId="35" borderId="56" xfId="62" applyFont="1" applyFill="1" applyBorder="1" applyAlignment="1" applyProtection="1">
      <alignment/>
      <protection hidden="1"/>
    </xf>
    <xf numFmtId="39" fontId="38" fillId="35" borderId="57" xfId="62" applyFont="1" applyFill="1" applyBorder="1" applyAlignment="1" applyProtection="1">
      <alignment horizontal="center"/>
      <protection hidden="1"/>
    </xf>
    <xf numFmtId="39" fontId="104" fillId="35" borderId="35" xfId="62" applyFont="1" applyFill="1" applyBorder="1" applyAlignment="1" applyProtection="1">
      <alignment horizontal="center"/>
      <protection hidden="1"/>
    </xf>
    <xf numFmtId="39" fontId="57" fillId="0" borderId="13" xfId="62" applyFont="1" applyFill="1" applyBorder="1" applyProtection="1">
      <alignment/>
      <protection hidden="1"/>
    </xf>
    <xf numFmtId="39" fontId="57" fillId="0" borderId="0" xfId="62" applyFont="1" applyFill="1" applyBorder="1" applyAlignment="1" applyProtection="1">
      <alignment horizontal="center"/>
      <protection hidden="1"/>
    </xf>
    <xf numFmtId="39" fontId="108" fillId="0" borderId="0" xfId="62" applyFont="1" applyFill="1" applyBorder="1" applyProtection="1">
      <alignment/>
      <protection hidden="1"/>
    </xf>
    <xf numFmtId="39" fontId="108" fillId="0" borderId="53" xfId="62" applyFont="1" applyFill="1" applyBorder="1" applyProtection="1">
      <alignment/>
      <protection hidden="1"/>
    </xf>
    <xf numFmtId="39" fontId="98" fillId="0" borderId="10" xfId="62" applyFont="1" applyFill="1" applyBorder="1" applyAlignment="1" applyProtection="1">
      <alignment/>
      <protection hidden="1"/>
    </xf>
    <xf numFmtId="39" fontId="65" fillId="0" borderId="13" xfId="62" applyFont="1" applyFill="1" applyBorder="1" applyAlignment="1" applyProtection="1">
      <alignment/>
      <protection hidden="1"/>
    </xf>
    <xf numFmtId="39" fontId="67" fillId="34" borderId="66" xfId="62" applyFont="1" applyFill="1" applyBorder="1" applyAlignment="1" applyProtection="1">
      <alignment horizontal="right"/>
      <protection hidden="1"/>
    </xf>
    <xf numFmtId="39" fontId="76" fillId="34" borderId="66" xfId="62" applyFont="1" applyFill="1" applyBorder="1" applyAlignment="1" applyProtection="1">
      <alignment horizontal="center"/>
      <protection hidden="1"/>
    </xf>
    <xf numFmtId="39" fontId="69" fillId="33" borderId="20" xfId="62" applyFont="1" applyFill="1" applyBorder="1" applyProtection="1">
      <alignment/>
      <protection locked="0"/>
    </xf>
    <xf numFmtId="39" fontId="70" fillId="0" borderId="24" xfId="62" applyFont="1" applyFill="1" applyBorder="1" applyProtection="1">
      <alignment/>
      <protection hidden="1"/>
    </xf>
    <xf numFmtId="39" fontId="109" fillId="34" borderId="12" xfId="62" applyFont="1" applyFill="1" applyBorder="1" applyAlignment="1" applyProtection="1">
      <alignment horizontal="right"/>
      <protection hidden="1"/>
    </xf>
    <xf numFmtId="39" fontId="76" fillId="34" borderId="12" xfId="62" applyFont="1" applyFill="1" applyBorder="1" applyAlignment="1" applyProtection="1">
      <alignment horizontal="center"/>
      <protection hidden="1"/>
    </xf>
    <xf numFmtId="39" fontId="110" fillId="34" borderId="13" xfId="62" applyFont="1" applyFill="1" applyBorder="1" applyAlignment="1" applyProtection="1">
      <alignment/>
      <protection hidden="1"/>
    </xf>
    <xf numFmtId="39" fontId="111" fillId="34" borderId="12" xfId="62" applyFont="1" applyFill="1" applyBorder="1" applyAlignment="1" applyProtection="1">
      <alignment horizontal="right"/>
      <protection hidden="1"/>
    </xf>
    <xf numFmtId="39" fontId="112" fillId="34" borderId="12" xfId="62" applyFont="1" applyFill="1" applyBorder="1" applyAlignment="1" applyProtection="1">
      <alignment horizontal="center"/>
      <protection hidden="1"/>
    </xf>
    <xf numFmtId="39" fontId="65" fillId="33" borderId="55" xfId="62" applyFont="1" applyFill="1" applyBorder="1" applyProtection="1">
      <alignment/>
      <protection locked="0"/>
    </xf>
    <xf numFmtId="39" fontId="72" fillId="0" borderId="0" xfId="62" applyFont="1" applyFill="1" applyBorder="1" applyAlignment="1" applyProtection="1">
      <alignment/>
      <protection hidden="1"/>
    </xf>
    <xf numFmtId="39" fontId="0" fillId="0" borderId="0" xfId="62" applyAlignment="1" applyProtection="1">
      <alignment horizontal="left"/>
      <protection hidden="1"/>
    </xf>
    <xf numFmtId="39" fontId="113" fillId="34" borderId="13" xfId="62" applyFont="1" applyFill="1" applyBorder="1" applyAlignment="1" applyProtection="1">
      <alignment/>
      <protection hidden="1"/>
    </xf>
    <xf numFmtId="39" fontId="114" fillId="0" borderId="0" xfId="62" applyFont="1" applyFill="1" applyBorder="1" applyProtection="1">
      <alignment/>
      <protection hidden="1"/>
    </xf>
    <xf numFmtId="39" fontId="109" fillId="34" borderId="67" xfId="62" applyFont="1" applyFill="1" applyBorder="1" applyAlignment="1" applyProtection="1">
      <alignment horizontal="right"/>
      <protection hidden="1"/>
    </xf>
    <xf numFmtId="39" fontId="116" fillId="34" borderId="67" xfId="62" applyFont="1" applyFill="1" applyBorder="1" applyAlignment="1" applyProtection="1">
      <alignment horizontal="center"/>
      <protection hidden="1"/>
    </xf>
    <xf numFmtId="39" fontId="110" fillId="34" borderId="52" xfId="62" applyFont="1" applyFill="1" applyBorder="1" applyAlignment="1" applyProtection="1">
      <alignment/>
      <protection hidden="1"/>
    </xf>
    <xf numFmtId="39" fontId="117" fillId="34" borderId="20" xfId="62" applyFont="1" applyFill="1" applyBorder="1" applyAlignment="1" applyProtection="1">
      <alignment horizontal="center"/>
      <protection hidden="1"/>
    </xf>
    <xf numFmtId="39" fontId="41" fillId="34" borderId="55" xfId="62" applyFont="1" applyFill="1" applyBorder="1" applyAlignment="1" applyProtection="1">
      <alignment horizontal="right"/>
      <protection hidden="1"/>
    </xf>
    <xf numFmtId="1" fontId="77" fillId="33" borderId="55" xfId="62" applyNumberFormat="1" applyFont="1" applyFill="1" applyBorder="1" applyProtection="1">
      <alignment/>
      <protection locked="0"/>
    </xf>
    <xf numFmtId="39" fontId="70" fillId="0" borderId="0" xfId="62" applyFont="1" applyFill="1" applyBorder="1" applyAlignment="1" applyProtection="1">
      <alignment horizontal="left"/>
      <protection hidden="1"/>
    </xf>
    <xf numFmtId="39" fontId="109" fillId="34" borderId="55" xfId="62" applyFont="1" applyFill="1" applyBorder="1" applyAlignment="1" applyProtection="1">
      <alignment horizontal="right"/>
      <protection hidden="1"/>
    </xf>
    <xf numFmtId="39" fontId="119" fillId="37" borderId="13" xfId="62" applyFont="1" applyFill="1" applyBorder="1" applyAlignment="1" applyProtection="1">
      <alignment/>
      <protection hidden="1"/>
    </xf>
    <xf numFmtId="39" fontId="106" fillId="37" borderId="20" xfId="62" applyFont="1" applyFill="1" applyBorder="1" applyAlignment="1" applyProtection="1">
      <alignment horizontal="right"/>
      <protection hidden="1"/>
    </xf>
    <xf numFmtId="39" fontId="57" fillId="37" borderId="0" xfId="62" applyFont="1" applyFill="1" applyBorder="1" applyAlignment="1" applyProtection="1">
      <alignment horizontal="center"/>
      <protection hidden="1"/>
    </xf>
    <xf numFmtId="39" fontId="57" fillId="37" borderId="15" xfId="62" applyFont="1" applyFill="1" applyBorder="1" applyProtection="1">
      <alignment/>
      <protection hidden="1"/>
    </xf>
    <xf numFmtId="39" fontId="57" fillId="37" borderId="68" xfId="62" applyFont="1" applyFill="1" applyBorder="1" applyProtection="1">
      <alignment/>
      <protection hidden="1"/>
    </xf>
    <xf numFmtId="39" fontId="57" fillId="0" borderId="0" xfId="62" applyFont="1" applyFill="1" applyBorder="1" applyAlignment="1" applyProtection="1">
      <alignment/>
      <protection hidden="1"/>
    </xf>
    <xf numFmtId="39" fontId="106" fillId="37" borderId="55" xfId="62" applyFont="1" applyFill="1" applyBorder="1" applyAlignment="1" applyProtection="1">
      <alignment horizontal="center"/>
      <protection hidden="1"/>
    </xf>
    <xf numFmtId="39" fontId="120" fillId="37" borderId="0" xfId="62" applyFont="1" applyFill="1" applyBorder="1" applyProtection="1">
      <alignment/>
      <protection hidden="1"/>
    </xf>
    <xf numFmtId="39" fontId="120" fillId="37" borderId="53" xfId="62" applyFont="1" applyFill="1" applyBorder="1" applyProtection="1">
      <alignment/>
      <protection hidden="1"/>
    </xf>
    <xf numFmtId="39" fontId="57" fillId="36" borderId="13" xfId="62" applyFont="1" applyFill="1" applyBorder="1" applyAlignment="1" applyProtection="1">
      <alignment/>
      <protection hidden="1"/>
    </xf>
    <xf numFmtId="39" fontId="106" fillId="36" borderId="55" xfId="62" applyFont="1" applyFill="1" applyBorder="1" applyAlignment="1" applyProtection="1">
      <alignment horizontal="center"/>
      <protection hidden="1"/>
    </xf>
    <xf numFmtId="39" fontId="0" fillId="36" borderId="0" xfId="62" applyFill="1" applyBorder="1" applyAlignment="1" applyProtection="1">
      <alignment horizontal="center"/>
      <protection hidden="1"/>
    </xf>
    <xf numFmtId="39" fontId="87" fillId="36" borderId="13" xfId="62" applyFont="1" applyFill="1" applyBorder="1" applyProtection="1">
      <alignment/>
      <protection hidden="1"/>
    </xf>
    <xf numFmtId="39" fontId="121" fillId="36" borderId="0" xfId="62" applyFont="1" applyFill="1" applyBorder="1" applyProtection="1">
      <alignment/>
      <protection hidden="1"/>
    </xf>
    <xf numFmtId="39" fontId="0" fillId="36" borderId="53" xfId="62" applyFill="1" applyBorder="1" applyProtection="1">
      <alignment/>
      <protection hidden="1"/>
    </xf>
    <xf numFmtId="39" fontId="65" fillId="37" borderId="0" xfId="62" applyFont="1" applyFill="1" applyBorder="1" applyProtection="1">
      <alignment/>
      <protection hidden="1"/>
    </xf>
    <xf numFmtId="39" fontId="0" fillId="37" borderId="53" xfId="62" applyFill="1" applyBorder="1" applyProtection="1">
      <alignment/>
      <protection hidden="1"/>
    </xf>
    <xf numFmtId="39" fontId="0" fillId="0" borderId="0" xfId="62" applyFill="1" applyAlignment="1" applyProtection="1">
      <alignment horizontal="left"/>
      <protection hidden="1"/>
    </xf>
    <xf numFmtId="39" fontId="106" fillId="37" borderId="57" xfId="62" applyFont="1" applyFill="1" applyBorder="1" applyAlignment="1" applyProtection="1">
      <alignment horizontal="center"/>
      <protection hidden="1"/>
    </xf>
    <xf numFmtId="188" fontId="57" fillId="37" borderId="0" xfId="62" applyNumberFormat="1" applyFont="1" applyFill="1" applyBorder="1" applyAlignment="1" applyProtection="1">
      <alignment horizontal="center"/>
      <protection hidden="1"/>
    </xf>
    <xf numFmtId="207" fontId="57" fillId="37" borderId="13" xfId="62" applyNumberFormat="1" applyFont="1" applyFill="1" applyBorder="1" applyProtection="1">
      <alignment/>
      <protection hidden="1"/>
    </xf>
    <xf numFmtId="188" fontId="0" fillId="37" borderId="0" xfId="62" applyNumberFormat="1" applyFill="1" applyBorder="1" applyProtection="1">
      <alignment/>
      <protection hidden="1"/>
    </xf>
    <xf numFmtId="188" fontId="0" fillId="37" borderId="53" xfId="62" applyNumberFormat="1" applyFill="1" applyBorder="1" applyProtection="1">
      <alignment/>
      <protection hidden="1"/>
    </xf>
    <xf numFmtId="39" fontId="102" fillId="0" borderId="69" xfId="62" applyFont="1" applyFill="1" applyBorder="1" applyAlignment="1" applyProtection="1">
      <alignment/>
      <protection hidden="1"/>
    </xf>
    <xf numFmtId="39" fontId="57" fillId="0" borderId="17" xfId="62" applyFont="1" applyFill="1" applyBorder="1" applyAlignment="1" applyProtection="1">
      <alignment horizontal="center"/>
      <protection hidden="1"/>
    </xf>
    <xf numFmtId="39" fontId="57" fillId="0" borderId="17" xfId="62" applyFont="1" applyFill="1" applyBorder="1" applyProtection="1">
      <alignment/>
      <protection hidden="1"/>
    </xf>
    <xf numFmtId="39" fontId="57" fillId="0" borderId="70" xfId="62" applyFont="1" applyFill="1" applyBorder="1" applyProtection="1">
      <alignment/>
      <protection hidden="1"/>
    </xf>
    <xf numFmtId="39" fontId="122" fillId="34" borderId="71" xfId="62" applyFont="1" applyFill="1" applyBorder="1" applyAlignment="1" applyProtection="1">
      <alignment/>
      <protection hidden="1"/>
    </xf>
    <xf numFmtId="39" fontId="123" fillId="33" borderId="72" xfId="62" applyNumberFormat="1" applyFont="1" applyFill="1" applyBorder="1" applyProtection="1">
      <alignment/>
      <protection locked="0"/>
    </xf>
    <xf numFmtId="39" fontId="124" fillId="36" borderId="72" xfId="62" applyFont="1" applyFill="1" applyBorder="1" applyAlignment="1" applyProtection="1">
      <alignment horizontal="left"/>
      <protection hidden="1"/>
    </xf>
    <xf numFmtId="39" fontId="35" fillId="36" borderId="72" xfId="62" applyFont="1" applyFill="1" applyBorder="1" applyProtection="1">
      <alignment/>
      <protection hidden="1"/>
    </xf>
    <xf numFmtId="204" fontId="121" fillId="36" borderId="73" xfId="62" applyNumberFormat="1" applyFont="1" applyFill="1" applyBorder="1" applyAlignment="1" applyProtection="1">
      <alignment horizontal="left"/>
      <protection hidden="1"/>
    </xf>
    <xf numFmtId="39" fontId="104" fillId="36" borderId="13" xfId="62" applyFont="1" applyFill="1" applyBorder="1" applyAlignment="1" applyProtection="1">
      <alignment/>
      <protection hidden="1"/>
    </xf>
    <xf numFmtId="39" fontId="38" fillId="36" borderId="0" xfId="62" applyFont="1" applyFill="1" applyBorder="1" applyAlignment="1" applyProtection="1">
      <alignment horizontal="center"/>
      <protection hidden="1"/>
    </xf>
    <xf numFmtId="39" fontId="104" fillId="36" borderId="0" xfId="62" applyFont="1" applyFill="1" applyBorder="1" applyAlignment="1" applyProtection="1">
      <alignment horizontal="center"/>
      <protection hidden="1"/>
    </xf>
    <xf numFmtId="39" fontId="87" fillId="36" borderId="0" xfId="62" applyFont="1" applyFill="1" applyBorder="1" applyProtection="1">
      <alignment/>
      <protection hidden="1"/>
    </xf>
    <xf numFmtId="39" fontId="121" fillId="36" borderId="0" xfId="62" applyFont="1" applyFill="1" applyBorder="1" applyAlignment="1" applyProtection="1">
      <alignment horizontal="left"/>
      <protection hidden="1"/>
    </xf>
    <xf numFmtId="39" fontId="104" fillId="36" borderId="64" xfId="62" applyFont="1" applyFill="1" applyBorder="1" applyAlignment="1" applyProtection="1">
      <alignment/>
      <protection hidden="1"/>
    </xf>
    <xf numFmtId="39" fontId="38" fillId="36" borderId="34" xfId="62" applyFont="1" applyFill="1" applyBorder="1" applyAlignment="1" applyProtection="1">
      <alignment horizontal="center"/>
      <protection hidden="1"/>
    </xf>
    <xf numFmtId="39" fontId="104" fillId="36" borderId="34" xfId="62" applyFont="1" applyFill="1" applyBorder="1" applyAlignment="1" applyProtection="1">
      <alignment horizontal="center"/>
      <protection hidden="1"/>
    </xf>
    <xf numFmtId="39" fontId="87" fillId="36" borderId="34" xfId="62" applyFont="1" applyFill="1" applyBorder="1" applyProtection="1">
      <alignment/>
      <protection hidden="1"/>
    </xf>
    <xf numFmtId="39" fontId="121" fillId="36" borderId="34" xfId="62" applyFont="1" applyFill="1" applyBorder="1" applyAlignment="1" applyProtection="1">
      <alignment horizontal="left"/>
      <protection hidden="1"/>
    </xf>
    <xf numFmtId="39" fontId="0" fillId="36" borderId="65" xfId="62" applyFill="1" applyBorder="1" applyProtection="1">
      <alignment/>
      <protection hidden="1"/>
    </xf>
    <xf numFmtId="39" fontId="0" fillId="37" borderId="0" xfId="62" applyFill="1" applyBorder="1" applyProtection="1">
      <alignment/>
      <protection hidden="1"/>
    </xf>
    <xf numFmtId="39" fontId="125" fillId="36" borderId="62" xfId="62" applyFont="1" applyFill="1" applyBorder="1" applyProtection="1">
      <alignment/>
      <protection hidden="1"/>
    </xf>
    <xf numFmtId="39" fontId="87" fillId="36" borderId="28" xfId="62" applyFont="1" applyFill="1" applyBorder="1" applyProtection="1">
      <alignment/>
      <protection hidden="1"/>
    </xf>
    <xf numFmtId="39" fontId="87" fillId="36" borderId="28" xfId="62" applyFont="1" applyFill="1" applyBorder="1" applyAlignment="1" applyProtection="1">
      <alignment horizontal="center"/>
      <protection hidden="1"/>
    </xf>
    <xf numFmtId="39" fontId="125" fillId="36" borderId="74" xfId="62" applyFont="1" applyFill="1" applyBorder="1" applyAlignment="1" applyProtection="1">
      <alignment/>
      <protection hidden="1"/>
    </xf>
    <xf numFmtId="39" fontId="126" fillId="36" borderId="75" xfId="62" applyFont="1" applyFill="1" applyBorder="1" applyAlignment="1" applyProtection="1">
      <alignment/>
      <protection hidden="1"/>
    </xf>
    <xf numFmtId="206" fontId="121" fillId="36" borderId="75" xfId="62" applyNumberFormat="1" applyFont="1" applyFill="1" applyBorder="1" applyAlignment="1" applyProtection="1">
      <alignment horizontal="left"/>
      <protection hidden="1"/>
    </xf>
    <xf numFmtId="39" fontId="0" fillId="0" borderId="0" xfId="62" applyFont="1" applyAlignment="1" applyProtection="1">
      <alignment horizontal="left"/>
      <protection hidden="1"/>
    </xf>
    <xf numFmtId="39" fontId="0" fillId="0" borderId="0" xfId="62" applyAlignment="1" applyProtection="1">
      <alignment horizontal="center"/>
      <protection hidden="1"/>
    </xf>
    <xf numFmtId="39" fontId="128" fillId="0" borderId="0" xfId="62" applyFont="1" applyFill="1" applyAlignment="1" applyProtection="1">
      <alignment horizontal="left"/>
      <protection/>
    </xf>
    <xf numFmtId="39" fontId="0" fillId="0" borderId="0" xfId="62" applyProtection="1">
      <alignment/>
      <protection/>
    </xf>
    <xf numFmtId="39" fontId="0" fillId="0" borderId="0" xfId="62">
      <alignment/>
      <protection/>
    </xf>
    <xf numFmtId="39" fontId="129" fillId="0" borderId="0" xfId="62" applyFont="1" applyFill="1" applyAlignment="1" applyProtection="1">
      <alignment/>
      <protection/>
    </xf>
    <xf numFmtId="39" fontId="0" fillId="0" borderId="0" xfId="62" applyAlignment="1" applyProtection="1">
      <alignment horizontal="left"/>
      <protection/>
    </xf>
    <xf numFmtId="39" fontId="130" fillId="0" borderId="0" xfId="62" applyFont="1" applyAlignment="1" applyProtection="1">
      <alignment horizontal="left"/>
      <protection/>
    </xf>
    <xf numFmtId="39" fontId="131" fillId="0" borderId="0" xfId="62" applyFont="1" applyProtection="1">
      <alignment/>
      <protection/>
    </xf>
    <xf numFmtId="39" fontId="133" fillId="0" borderId="0" xfId="62" applyFont="1" applyAlignment="1" applyProtection="1">
      <alignment horizontal="left"/>
      <protection/>
    </xf>
    <xf numFmtId="39" fontId="134" fillId="0" borderId="0" xfId="62" applyFont="1" applyAlignment="1" applyProtection="1">
      <alignment horizontal="left"/>
      <protection/>
    </xf>
    <xf numFmtId="39" fontId="135" fillId="0" borderId="0" xfId="62" applyFont="1" applyAlignment="1" applyProtection="1">
      <alignment horizontal="left"/>
      <protection/>
    </xf>
    <xf numFmtId="39" fontId="55" fillId="0" borderId="0" xfId="62" applyFont="1" applyAlignment="1" applyProtection="1">
      <alignment horizontal="center" vertical="center"/>
      <protection/>
    </xf>
    <xf numFmtId="39" fontId="0" fillId="0" borderId="0" xfId="62" applyFont="1" applyAlignment="1" applyProtection="1">
      <alignment horizontal="left"/>
      <protection/>
    </xf>
    <xf numFmtId="39" fontId="136" fillId="0" borderId="0" xfId="62" applyFont="1" applyAlignment="1" applyProtection="1">
      <alignment horizontal="left"/>
      <protection/>
    </xf>
    <xf numFmtId="39" fontId="0" fillId="0" borderId="0" xfId="62" applyFont="1" applyProtection="1">
      <alignment/>
      <protection/>
    </xf>
    <xf numFmtId="39" fontId="0" fillId="0" borderId="0" xfId="62" applyFont="1" applyAlignment="1" applyProtection="1" quotePrefix="1">
      <alignment horizontal="left"/>
      <protection/>
    </xf>
    <xf numFmtId="39" fontId="76" fillId="34" borderId="33" xfId="62" applyFont="1" applyFill="1" applyBorder="1" applyAlignment="1" applyProtection="1">
      <alignment horizontal="center"/>
      <protection hidden="1"/>
    </xf>
    <xf numFmtId="39" fontId="77" fillId="33" borderId="76" xfId="62" applyNumberFormat="1" applyFont="1" applyFill="1" applyBorder="1" applyAlignment="1" applyProtection="1">
      <alignment horizontal="right"/>
      <protection locked="0"/>
    </xf>
    <xf numFmtId="39" fontId="6" fillId="0" borderId="77" xfId="0" applyFont="1" applyFill="1" applyBorder="1" applyAlignment="1" applyProtection="1">
      <alignment/>
      <protection/>
    </xf>
    <xf numFmtId="39" fontId="6" fillId="0" borderId="78" xfId="0" applyFont="1" applyFill="1" applyBorder="1" applyAlignment="1" applyProtection="1">
      <alignment/>
      <protection/>
    </xf>
    <xf numFmtId="39" fontId="6" fillId="0" borderId="79" xfId="0" applyFont="1" applyFill="1" applyBorder="1" applyAlignment="1" applyProtection="1">
      <alignment/>
      <protection/>
    </xf>
    <xf numFmtId="39" fontId="6" fillId="0" borderId="80" xfId="0" applyFont="1" applyFill="1" applyBorder="1" applyAlignment="1" applyProtection="1">
      <alignment/>
      <protection/>
    </xf>
    <xf numFmtId="39" fontId="57" fillId="0" borderId="13" xfId="62" applyFont="1" applyFill="1" applyBorder="1" applyAlignment="1" applyProtection="1">
      <alignment/>
      <protection hidden="1"/>
    </xf>
    <xf numFmtId="39" fontId="87" fillId="36" borderId="0" xfId="62" applyFont="1" applyFill="1" applyBorder="1" applyProtection="1">
      <alignment/>
      <protection hidden="1"/>
    </xf>
    <xf numFmtId="39" fontId="0" fillId="37" borderId="73" xfId="62" applyFill="1" applyBorder="1" applyProtection="1">
      <alignment/>
      <protection hidden="1"/>
    </xf>
    <xf numFmtId="39" fontId="0" fillId="0" borderId="0" xfId="62" applyFont="1" applyFill="1" applyProtection="1">
      <alignment/>
      <protection/>
    </xf>
    <xf numFmtId="39" fontId="0" fillId="0" borderId="0" xfId="62" applyFill="1" applyProtection="1">
      <alignment/>
      <protection/>
    </xf>
    <xf numFmtId="39" fontId="0" fillId="0" borderId="0" xfId="62" applyFill="1">
      <alignment/>
      <protection/>
    </xf>
    <xf numFmtId="39" fontId="135" fillId="0" borderId="0" xfId="62" applyFont="1" applyFill="1" applyProtection="1">
      <alignment/>
      <protection/>
    </xf>
    <xf numFmtId="39" fontId="0" fillId="38" borderId="0" xfId="62" applyFont="1" applyFill="1" applyAlignment="1" applyProtection="1">
      <alignment horizontal="center"/>
      <protection/>
    </xf>
    <xf numFmtId="39" fontId="0" fillId="0" borderId="0" xfId="62" applyFont="1" applyFill="1" applyAlignment="1" applyProtection="1">
      <alignment horizontal="left"/>
      <protection/>
    </xf>
    <xf numFmtId="39" fontId="135" fillId="0" borderId="0" xfId="62" applyFont="1" applyProtection="1">
      <alignment/>
      <protection/>
    </xf>
    <xf numFmtId="39" fontId="140" fillId="0" borderId="0" xfId="54" applyNumberFormat="1" applyFont="1" applyAlignment="1" applyProtection="1">
      <alignment horizontal="center"/>
      <protection/>
    </xf>
    <xf numFmtId="39" fontId="141" fillId="0" borderId="0" xfId="62" applyFont="1" applyAlignment="1" applyProtection="1">
      <alignment horizontal="center"/>
      <protection/>
    </xf>
    <xf numFmtId="39" fontId="142" fillId="0" borderId="0" xfId="62" applyFont="1" applyAlignment="1" applyProtection="1" quotePrefix="1">
      <alignment horizontal="center"/>
      <protection hidden="1"/>
    </xf>
    <xf numFmtId="39" fontId="65" fillId="0" borderId="67" xfId="62" applyFont="1" applyFill="1" applyBorder="1" applyAlignment="1" applyProtection="1">
      <alignment horizontal="center"/>
      <protection hidden="1"/>
    </xf>
    <xf numFmtId="39" fontId="65" fillId="0" borderId="65" xfId="62" applyFont="1" applyFill="1" applyBorder="1" applyAlignment="1" applyProtection="1">
      <alignment horizontal="center"/>
      <protection hidden="1"/>
    </xf>
    <xf numFmtId="39" fontId="58" fillId="0" borderId="0" xfId="62" applyFont="1" applyFill="1" applyAlignment="1" applyProtection="1">
      <alignment vertical="top" wrapText="1"/>
      <protection hidden="1"/>
    </xf>
    <xf numFmtId="39" fontId="0" fillId="0" borderId="0" xfId="62" applyAlignment="1">
      <alignment vertical="top" wrapText="1"/>
      <protection/>
    </xf>
    <xf numFmtId="39" fontId="52" fillId="37" borderId="74" xfId="0" applyFont="1" applyFill="1" applyBorder="1" applyAlignment="1" applyProtection="1">
      <alignment horizontal="center" wrapText="1"/>
      <protection/>
    </xf>
    <xf numFmtId="39" fontId="53" fillId="0" borderId="75" xfId="0" applyFont="1" applyBorder="1" applyAlignment="1" applyProtection="1">
      <alignment horizontal="center" wrapText="1"/>
      <protection/>
    </xf>
    <xf numFmtId="39" fontId="53" fillId="0" borderId="61" xfId="0" applyFont="1" applyBorder="1" applyAlignment="1" applyProtection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eading1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_VIGAFLEX-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85725</xdr:rowOff>
    </xdr:from>
    <xdr:to>
      <xdr:col>9</xdr:col>
      <xdr:colOff>1905000</xdr:colOff>
      <xdr:row>31</xdr:row>
      <xdr:rowOff>142875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0782300" y="4476750"/>
          <a:ext cx="2876550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UTILIZAR: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casillas con fondo verde deben ser llenadas con los datos.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celdas de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DATOS GENERALES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deben ser proporcionadas siempre.  Los otros datos son opcionales.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Desplazándose hacia abajo se encuentra el formulario restante.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color rojo oscuro se obtienen los resultados para vigas rectangulares simple, doblemente armada, viga T y diseño por Cortante y Torsión.  En cada caso se debe completar la información requerida en las celdas de fondo verde.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acuerdo a los valores y los cálculos internos, aparecerán comentarios, advertencias o sugerencias de orientación para optimizar el diseño.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Consultar los comentarios que se han ubicado en cada celda, para mejorar la comprensión.
</a:t>
          </a:r>
        </a:p>
      </xdr:txBody>
    </xdr:sp>
    <xdr:clientData/>
  </xdr:twoCellAnchor>
  <xdr:twoCellAnchor editAs="oneCell">
    <xdr:from>
      <xdr:col>8</xdr:col>
      <xdr:colOff>9525</xdr:colOff>
      <xdr:row>32</xdr:row>
      <xdr:rowOff>76200</xdr:rowOff>
    </xdr:from>
    <xdr:to>
      <xdr:col>9</xdr:col>
      <xdr:colOff>1876425</xdr:colOff>
      <xdr:row>52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9010650"/>
          <a:ext cx="2847975" cy="436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0</xdr:rowOff>
    </xdr:from>
    <xdr:to>
      <xdr:col>6</xdr:col>
      <xdr:colOff>1009650</xdr:colOff>
      <xdr:row>0</xdr:row>
      <xdr:rowOff>1409700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rcRect t="30587" b="28234"/>
        <a:stretch>
          <a:fillRect/>
        </a:stretch>
      </xdr:blipFill>
      <xdr:spPr>
        <a:xfrm>
          <a:off x="3467100" y="0"/>
          <a:ext cx="6172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12</xdr:row>
      <xdr:rowOff>104775</xdr:rowOff>
    </xdr:from>
    <xdr:to>
      <xdr:col>12</xdr:col>
      <xdr:colOff>1952625</xdr:colOff>
      <xdr:row>45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258425" y="4191000"/>
          <a:ext cx="3238500" cy="687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UTILIZAR: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las casillas con fondo verde deben ser llenadas con los datos.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celdas de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DATOS GENERALES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describen las dimensiones de la columna y sus solicitaciones, deben ser proporcionadas siempre.  Los otros datos de ESBELTEZ son opcionales, y se dan únicamente si se desea incluir sus efectos, para lo que deberá chequearse la casilla correspondiente.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deberá escoger el porcentaje de hierro del total que se concentra en las dos caras opuestas "Y", el programa calcula por resta simple lo que se colocará en las caras X (ver gráfico).  Luego imponerse sucesivamente valores de área de Acero total (As), hasta que la "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diferencia de momentos"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dada en el cuadro inferior, este comprendida entre +/- 4%.  la casilla de "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disminuir la sección de acero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", es una guía aproximada para imponerse As.  La sección de acero buscada será aquella que produzca el mensaje "As es OK!!" en esa celda.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Desplazándose hacia abajo se encuentra el formulario restante, cálculos transitorios, momentos amplificados por esbeltez, diseño de la columna en una dirección, etc.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acuerdo a los valores y los cálculos internos, aparecerán comentarios, advertencias o sugerencias de orientación para optimizar el diseño.
</a:t>
          </a:r>
        </a:p>
      </xdr:txBody>
    </xdr:sp>
    <xdr:clientData/>
  </xdr:twoCellAnchor>
  <xdr:twoCellAnchor editAs="oneCell">
    <xdr:from>
      <xdr:col>6</xdr:col>
      <xdr:colOff>581025</xdr:colOff>
      <xdr:row>6</xdr:row>
      <xdr:rowOff>76200</xdr:rowOff>
    </xdr:from>
    <xdr:to>
      <xdr:col>6</xdr:col>
      <xdr:colOff>781050</xdr:colOff>
      <xdr:row>6</xdr:row>
      <xdr:rowOff>323850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10475" y="2809875"/>
          <a:ext cx="2000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5</xdr:col>
      <xdr:colOff>895350</xdr:colOff>
      <xdr:row>38</xdr:row>
      <xdr:rowOff>152400</xdr:rowOff>
    </xdr:from>
    <xdr:to>
      <xdr:col>8</xdr:col>
      <xdr:colOff>371475</xdr:colOff>
      <xdr:row>47</xdr:row>
      <xdr:rowOff>152400</xdr:rowOff>
    </xdr:to>
    <xdr:sp>
      <xdr:nvSpPr>
        <xdr:cNvPr id="3" name="Text Box 77"/>
        <xdr:cNvSpPr txBox="1">
          <a:spLocks noChangeArrowheads="1"/>
        </xdr:cNvSpPr>
      </xdr:nvSpPr>
      <xdr:spPr>
        <a:xfrm>
          <a:off x="5943600" y="9629775"/>
          <a:ext cx="35147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consideraciones de esbeltez en columnas, se utiliza el método de magnificación del momento.  (Ver:  Problem 20, pag. 20 y teoría en la pag. 217 a 220, del libro ULTIMATE STRENGTH DESIGN HANDBOOK, Vol 2, Columns, Special Publication No. 17A, del American Concrete Institute Detroit (Reported by ACI Committee 340, 6ta. impresion, julio  de 1975)</a:t>
          </a:r>
        </a:p>
      </xdr:txBody>
    </xdr:sp>
    <xdr:clientData/>
  </xdr:twoCellAnchor>
  <xdr:twoCellAnchor editAs="oneCell">
    <xdr:from>
      <xdr:col>4</xdr:col>
      <xdr:colOff>38100</xdr:colOff>
      <xdr:row>0</xdr:row>
      <xdr:rowOff>104775</xdr:rowOff>
    </xdr:from>
    <xdr:to>
      <xdr:col>9</xdr:col>
      <xdr:colOff>247650</xdr:colOff>
      <xdr:row>1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t="30587" b="28234"/>
        <a:stretch>
          <a:fillRect/>
        </a:stretch>
      </xdr:blipFill>
      <xdr:spPr>
        <a:xfrm>
          <a:off x="3952875" y="104775"/>
          <a:ext cx="6200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rosadoj@hotmail.com" TargetMode="External" /><Relationship Id="rId2" Type="http://schemas.openxmlformats.org/officeDocument/2006/relationships/hyperlink" Target="mailto:hidrosoft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frosadoj@hotmail.com" TargetMode="External" /><Relationship Id="rId2" Type="http://schemas.openxmlformats.org/officeDocument/2006/relationships/hyperlink" Target="mailto:hidrosoft@hotmail.com" TargetMode="External" /><Relationship Id="rId3" Type="http://schemas.openxmlformats.org/officeDocument/2006/relationships/comments" Target="../comments2.xml" /><Relationship Id="rId4" Type="http://schemas.openxmlformats.org/officeDocument/2006/relationships/oleObject" Target="../embeddings/oleObject_1_0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87"/>
  <sheetViews>
    <sheetView tabSelected="1" zoomScalePageLayoutView="0" workbookViewId="0" topLeftCell="A1">
      <selection activeCell="J1" sqref="J1"/>
    </sheetView>
  </sheetViews>
  <sheetFormatPr defaultColWidth="9.796875" defaultRowHeight="15"/>
  <cols>
    <col min="1" max="1" width="1.796875" style="147" customWidth="1"/>
    <col min="2" max="2" width="31.3984375" style="147" customWidth="1"/>
    <col min="3" max="3" width="10.3984375" style="147" customWidth="1"/>
    <col min="4" max="4" width="9.796875" style="376" customWidth="1"/>
    <col min="5" max="5" width="13.3984375" style="147" customWidth="1"/>
    <col min="6" max="6" width="23.796875" style="147" customWidth="1"/>
    <col min="7" max="7" width="19.296875" style="147" customWidth="1"/>
    <col min="8" max="8" width="3.19921875" style="147" customWidth="1"/>
    <col min="9" max="9" width="10.296875" style="147" customWidth="1"/>
    <col min="10" max="10" width="20" style="147" customWidth="1"/>
    <col min="11" max="11" width="11.796875" style="147" customWidth="1"/>
    <col min="12" max="12" width="25.796875" style="147" customWidth="1"/>
    <col min="13" max="13" width="11.796875" style="147" customWidth="1"/>
    <col min="14" max="14" width="25.796875" style="147" customWidth="1"/>
    <col min="15" max="15" width="11.796875" style="147" customWidth="1"/>
    <col min="16" max="16" width="25.796875" style="147" customWidth="1"/>
    <col min="17" max="17" width="11.796875" style="147" customWidth="1"/>
    <col min="18" max="18" width="25.796875" style="147" customWidth="1"/>
    <col min="19" max="19" width="11.796875" style="147" customWidth="1"/>
    <col min="20" max="20" width="25.796875" style="147" customWidth="1"/>
    <col min="21" max="21" width="11.796875" style="147" customWidth="1"/>
    <col min="22" max="22" width="25.796875" style="147" customWidth="1"/>
    <col min="23" max="23" width="11.796875" style="147" customWidth="1"/>
    <col min="24" max="24" width="25.796875" style="147" customWidth="1"/>
    <col min="25" max="16384" width="9.796875" style="147" customWidth="1"/>
  </cols>
  <sheetData>
    <row r="1" ht="111.75" customHeight="1">
      <c r="B1" s="409" t="s">
        <v>423</v>
      </c>
    </row>
    <row r="2" spans="2:10" ht="15" customHeight="1">
      <c r="B2" s="387" t="s">
        <v>187</v>
      </c>
      <c r="C2" s="413" t="s">
        <v>376</v>
      </c>
      <c r="D2" s="414"/>
      <c r="E2" s="414"/>
      <c r="F2" s="414"/>
      <c r="G2" s="414"/>
      <c r="H2" s="414"/>
      <c r="I2" s="414"/>
      <c r="J2" s="414"/>
    </row>
    <row r="3" spans="2:10" ht="39" customHeight="1">
      <c r="B3" s="408" t="s">
        <v>422</v>
      </c>
      <c r="C3" s="414"/>
      <c r="D3" s="414"/>
      <c r="E3" s="414"/>
      <c r="F3" s="414"/>
      <c r="G3" s="414"/>
      <c r="H3" s="414"/>
      <c r="I3" s="414"/>
      <c r="J3" s="414"/>
    </row>
    <row r="4" spans="2:6" ht="20.25">
      <c r="B4" s="408" t="s">
        <v>341</v>
      </c>
      <c r="C4" s="148" t="s">
        <v>375</v>
      </c>
      <c r="D4" s="149"/>
      <c r="E4" s="150"/>
      <c r="F4" s="150"/>
    </row>
    <row r="5" spans="2:6" ht="18">
      <c r="B5" s="410" t="s">
        <v>421</v>
      </c>
      <c r="C5" s="151" t="s">
        <v>189</v>
      </c>
      <c r="D5" s="152"/>
      <c r="E5" s="153"/>
      <c r="F5" s="153"/>
    </row>
    <row r="6" spans="2:6" ht="16.5" thickBot="1">
      <c r="B6" s="410" t="s">
        <v>424</v>
      </c>
      <c r="C6" s="154"/>
      <c r="D6" s="152"/>
      <c r="E6" s="153"/>
      <c r="F6" s="153"/>
    </row>
    <row r="7" spans="2:24" ht="27" thickTop="1">
      <c r="B7" s="155"/>
      <c r="C7" s="156" t="s">
        <v>190</v>
      </c>
      <c r="D7" s="157"/>
      <c r="E7" s="158" t="s">
        <v>191</v>
      </c>
      <c r="F7" s="159"/>
      <c r="G7" s="160"/>
      <c r="H7" s="161"/>
      <c r="I7" s="162" t="s">
        <v>152</v>
      </c>
      <c r="K7" s="150"/>
      <c r="L7" s="150"/>
      <c r="N7" s="163"/>
      <c r="P7" s="163"/>
      <c r="R7" s="163"/>
      <c r="T7" s="163"/>
      <c r="V7" s="163"/>
      <c r="X7" s="163"/>
    </row>
    <row r="8" spans="2:12" ht="20.25" thickBot="1">
      <c r="B8" s="164" t="s">
        <v>0</v>
      </c>
      <c r="C8" s="165" t="s">
        <v>77</v>
      </c>
      <c r="D8" s="166" t="s">
        <v>62</v>
      </c>
      <c r="E8" s="167" t="s">
        <v>74</v>
      </c>
      <c r="F8" s="411" t="s">
        <v>192</v>
      </c>
      <c r="G8" s="412"/>
      <c r="H8" s="161"/>
      <c r="I8" s="168" t="s">
        <v>153</v>
      </c>
      <c r="K8" s="150"/>
      <c r="L8" s="150"/>
    </row>
    <row r="9" spans="2:9" ht="19.5" customHeight="1">
      <c r="B9" s="169" t="s">
        <v>193</v>
      </c>
      <c r="C9" s="170"/>
      <c r="D9" s="171"/>
      <c r="E9" s="172"/>
      <c r="F9" s="173"/>
      <c r="G9" s="174"/>
      <c r="H9" s="175"/>
      <c r="I9" s="176" t="s">
        <v>154</v>
      </c>
    </row>
    <row r="10" spans="2:23" ht="19.5" customHeight="1">
      <c r="B10" s="177" t="s">
        <v>1</v>
      </c>
      <c r="C10" s="178" t="s">
        <v>274</v>
      </c>
      <c r="D10" s="179" t="s">
        <v>275</v>
      </c>
      <c r="E10" s="180">
        <v>210</v>
      </c>
      <c r="F10" s="173"/>
      <c r="G10" s="181"/>
      <c r="H10" s="175"/>
      <c r="I10" s="182" t="s">
        <v>155</v>
      </c>
      <c r="M10" s="163"/>
      <c r="O10" s="163"/>
      <c r="Q10" s="163"/>
      <c r="S10" s="163"/>
      <c r="U10" s="163"/>
      <c r="W10" s="163"/>
    </row>
    <row r="11" spans="2:23" ht="19.5" customHeight="1">
      <c r="B11" s="177" t="s">
        <v>2</v>
      </c>
      <c r="C11" s="178" t="s">
        <v>276</v>
      </c>
      <c r="D11" s="179" t="s">
        <v>275</v>
      </c>
      <c r="E11" s="183">
        <v>4200</v>
      </c>
      <c r="F11" s="173">
        <f>IF(E11&gt;4200,"Fy &lt;  4200 kg/cm2 para DISEÑO POR CORTE","")</f>
      </c>
      <c r="G11" s="181"/>
      <c r="H11" s="184"/>
      <c r="I11" s="185" t="s">
        <v>156</v>
      </c>
      <c r="K11" s="186"/>
      <c r="L11" s="163"/>
      <c r="M11" s="163"/>
      <c r="O11" s="163"/>
      <c r="Q11" s="163"/>
      <c r="S11" s="163"/>
      <c r="U11" s="163"/>
      <c r="W11" s="163"/>
    </row>
    <row r="12" spans="2:23" ht="19.5" customHeight="1">
      <c r="B12" s="177" t="s">
        <v>194</v>
      </c>
      <c r="C12" s="178" t="s">
        <v>195</v>
      </c>
      <c r="D12" s="179" t="s">
        <v>64</v>
      </c>
      <c r="E12" s="180">
        <v>20</v>
      </c>
      <c r="F12" s="187" t="s">
        <v>196</v>
      </c>
      <c r="G12" s="174"/>
      <c r="H12" s="184"/>
      <c r="I12" s="188" t="s">
        <v>157</v>
      </c>
      <c r="M12" s="163"/>
      <c r="O12" s="163"/>
      <c r="Q12" s="163"/>
      <c r="S12" s="163"/>
      <c r="U12" s="163"/>
      <c r="W12" s="163"/>
    </row>
    <row r="13" spans="2:23" ht="19.5" customHeight="1" thickBot="1">
      <c r="B13" s="177" t="s">
        <v>197</v>
      </c>
      <c r="C13" s="178" t="s">
        <v>198</v>
      </c>
      <c r="D13" s="179" t="s">
        <v>64</v>
      </c>
      <c r="E13" s="180">
        <v>35</v>
      </c>
      <c r="F13" s="173"/>
      <c r="G13" s="181"/>
      <c r="H13" s="184"/>
      <c r="M13" s="163"/>
      <c r="O13" s="163"/>
      <c r="Q13" s="163"/>
      <c r="S13" s="163"/>
      <c r="U13" s="163"/>
      <c r="W13" s="163"/>
    </row>
    <row r="14" spans="2:23" ht="25.5" customHeight="1" thickBot="1">
      <c r="B14" s="189" t="s">
        <v>277</v>
      </c>
      <c r="C14" s="190" t="s">
        <v>278</v>
      </c>
      <c r="D14" s="392" t="s">
        <v>66</v>
      </c>
      <c r="E14" s="393">
        <v>1.93</v>
      </c>
      <c r="F14" s="173"/>
      <c r="G14" s="181"/>
      <c r="H14" s="184"/>
      <c r="I14" s="192"/>
      <c r="J14" s="193"/>
      <c r="K14" s="193"/>
      <c r="L14" s="193"/>
      <c r="M14" s="163"/>
      <c r="O14" s="163"/>
      <c r="Q14" s="163"/>
      <c r="S14" s="163"/>
      <c r="U14" s="163"/>
      <c r="W14" s="163"/>
    </row>
    <row r="15" spans="2:8" ht="15.75">
      <c r="B15" s="194" t="s">
        <v>199</v>
      </c>
      <c r="C15" s="195" t="s">
        <v>200</v>
      </c>
      <c r="D15" s="196"/>
      <c r="E15" s="197">
        <v>0.5</v>
      </c>
      <c r="F15" s="198" t="s">
        <v>201</v>
      </c>
      <c r="G15" s="199"/>
      <c r="H15" s="184"/>
    </row>
    <row r="16" spans="2:23" ht="16.5" thickBot="1">
      <c r="B16" s="200"/>
      <c r="C16" s="201"/>
      <c r="D16" s="202"/>
      <c r="E16" s="197"/>
      <c r="F16" s="198" t="s">
        <v>202</v>
      </c>
      <c r="G16" s="199"/>
      <c r="H16" s="184"/>
      <c r="I16" s="163"/>
      <c r="K16" s="163"/>
      <c r="M16" s="163"/>
      <c r="O16" s="163"/>
      <c r="Q16" s="163"/>
      <c r="S16" s="163"/>
      <c r="U16" s="163"/>
      <c r="W16" s="163"/>
    </row>
    <row r="17" spans="2:8" ht="18.75" thickTop="1">
      <c r="B17" s="203"/>
      <c r="C17" s="204"/>
      <c r="D17" s="205"/>
      <c r="E17" s="204"/>
      <c r="F17" s="206"/>
      <c r="G17" s="207"/>
      <c r="H17" s="175"/>
    </row>
    <row r="18" spans="2:8" ht="18.75" thickBot="1">
      <c r="B18" s="208" t="s">
        <v>203</v>
      </c>
      <c r="C18" s="209"/>
      <c r="D18" s="210"/>
      <c r="E18" s="209"/>
      <c r="F18" s="211"/>
      <c r="G18" s="212"/>
      <c r="H18" s="175"/>
    </row>
    <row r="19" spans="2:8" ht="16.5" thickTop="1">
      <c r="B19" s="213" t="s">
        <v>204</v>
      </c>
      <c r="C19" s="214"/>
      <c r="D19" s="215"/>
      <c r="E19" s="216"/>
      <c r="F19" s="217" t="s">
        <v>205</v>
      </c>
      <c r="G19" s="218"/>
      <c r="H19" s="175"/>
    </row>
    <row r="20" spans="2:8" ht="15.75" customHeight="1">
      <c r="B20" s="219" t="s">
        <v>206</v>
      </c>
      <c r="C20" s="220" t="s">
        <v>61</v>
      </c>
      <c r="D20" s="221" t="s">
        <v>68</v>
      </c>
      <c r="E20" s="222">
        <f>14/$E$11*($E$12*$E$13)</f>
        <v>2.3333333333333335</v>
      </c>
      <c r="F20" s="173" t="str">
        <f>IF($E$21&lt;$E$20,"!!! Usar As min o 1.33*As!!!","")</f>
        <v>!!! Usar As min o 1.33*As!!!</v>
      </c>
      <c r="G20" s="223"/>
      <c r="H20" s="175"/>
    </row>
    <row r="21" spans="2:8" ht="15.75" customHeight="1">
      <c r="B21" s="224" t="s">
        <v>207</v>
      </c>
      <c r="C21" s="225" t="s">
        <v>208</v>
      </c>
      <c r="D21" s="226" t="s">
        <v>68</v>
      </c>
      <c r="E21" s="227">
        <f>$E$12*$E$13*$E$10/$E$11*(1-SQRT(1-2.36*($E$14*100000/(0.9*$E$10*$E$12*$E$13^2))))/1.18</f>
        <v>1.4965605789249243</v>
      </c>
      <c r="F21" s="173" t="str">
        <f>IF(1-2.36*($E$14*100000/(0.9*$E$10*$E$12*$E$13^2))&lt;0,"!!Aumentar dimens. o disenar como DOBLEM. ARMADA",IF(OR(E21&lt;E20,E21&gt;E22),"!!! ERROR !!!","  ok"))</f>
        <v>!!! ERROR !!!</v>
      </c>
      <c r="G21" s="223"/>
      <c r="H21" s="175"/>
    </row>
    <row r="22" spans="2:25" ht="18" customHeight="1" thickBot="1">
      <c r="B22" s="228" t="s">
        <v>209</v>
      </c>
      <c r="C22" s="229" t="s">
        <v>61</v>
      </c>
      <c r="D22" s="230" t="s">
        <v>68</v>
      </c>
      <c r="E22" s="231">
        <f>$E$15*$E$12*$E$13*$E$23</f>
        <v>7.437500000000001</v>
      </c>
      <c r="F22" s="173">
        <f>IF($E$21&gt;$E$22,"!!!Diseñar como DOBLEMENTE ARMADA","")</f>
      </c>
      <c r="G22" s="223"/>
      <c r="H22" s="175"/>
      <c r="I22" s="163"/>
      <c r="K22" s="163"/>
      <c r="M22" s="163"/>
      <c r="O22" s="163"/>
      <c r="Q22" s="163"/>
      <c r="S22" s="163"/>
      <c r="U22" s="163"/>
      <c r="W22" s="163"/>
      <c r="Y22" s="163"/>
    </row>
    <row r="23" spans="2:8" ht="15.75">
      <c r="B23" s="194" t="s">
        <v>210</v>
      </c>
      <c r="C23" s="232" t="s">
        <v>211</v>
      </c>
      <c r="D23" s="233">
        <f>IF($E$10&gt;280,1.05-$E$10/1400,0.85)</f>
        <v>0.85</v>
      </c>
      <c r="E23" s="234">
        <f>0.85*$E$10*$D$23*6000/$E$11/(6000+$E$11)</f>
        <v>0.02125</v>
      </c>
      <c r="F23" s="235">
        <f>IF($E$21&gt;$E$22,"       o Aumentar dimensiones!!!","")</f>
      </c>
      <c r="G23" s="223"/>
      <c r="H23" s="175"/>
    </row>
    <row r="24" spans="2:8" ht="19.5" thickBot="1">
      <c r="B24" s="236" t="s">
        <v>212</v>
      </c>
      <c r="C24" s="237">
        <v>19</v>
      </c>
      <c r="D24" s="238" t="s">
        <v>213</v>
      </c>
      <c r="E24" s="239">
        <f>0.9*($C$24*$E$11*($E$13-$C$24*$E$11/(0.85*$E$10*$E$12)/2))/100000</f>
        <v>17.11005882352941</v>
      </c>
      <c r="F24" s="240" t="s">
        <v>214</v>
      </c>
      <c r="G24" s="241"/>
      <c r="H24" s="175"/>
    </row>
    <row r="25" spans="2:8" ht="18.75" thickTop="1">
      <c r="B25" s="203"/>
      <c r="C25" s="204"/>
      <c r="D25" s="205"/>
      <c r="E25" s="204"/>
      <c r="F25" s="242"/>
      <c r="G25" s="243"/>
      <c r="H25" s="161"/>
    </row>
    <row r="26" spans="2:8" ht="18.75" thickBot="1">
      <c r="B26" s="244" t="s">
        <v>215</v>
      </c>
      <c r="C26" s="209"/>
      <c r="D26" s="245" t="s">
        <v>216</v>
      </c>
      <c r="E26" s="209"/>
      <c r="F26" s="246"/>
      <c r="G26" s="247"/>
      <c r="H26" s="161"/>
    </row>
    <row r="27" spans="2:8" ht="22.5">
      <c r="B27" s="248" t="s">
        <v>217</v>
      </c>
      <c r="C27" s="249"/>
      <c r="D27" s="250"/>
      <c r="E27" s="251"/>
      <c r="F27" s="252" t="s">
        <v>218</v>
      </c>
      <c r="G27" s="253"/>
      <c r="H27" s="175"/>
    </row>
    <row r="28" spans="2:8" ht="15.75" customHeight="1">
      <c r="B28" s="254" t="s">
        <v>219</v>
      </c>
      <c r="C28" s="178" t="s">
        <v>279</v>
      </c>
      <c r="D28" s="255" t="s">
        <v>220</v>
      </c>
      <c r="E28" s="256">
        <v>0.46</v>
      </c>
      <c r="F28" s="173" t="str">
        <f>IF($E$28&gt;E15,"!!ERROR, &gt;Fmax=0.5 por sismo, debe ser menor a 0.5","  ok")</f>
        <v>  ok</v>
      </c>
      <c r="G28" s="223"/>
      <c r="H28" s="175"/>
    </row>
    <row r="29" spans="2:8" ht="16.5" customHeight="1" thickBot="1">
      <c r="B29" s="257" t="s">
        <v>221</v>
      </c>
      <c r="C29" s="190" t="s">
        <v>222</v>
      </c>
      <c r="D29" s="258" t="s">
        <v>64</v>
      </c>
      <c r="E29" s="259">
        <v>5</v>
      </c>
      <c r="F29" s="260"/>
      <c r="G29" s="261"/>
      <c r="H29" s="175"/>
    </row>
    <row r="30" spans="2:8" ht="18">
      <c r="B30" s="262" t="s">
        <v>204</v>
      </c>
      <c r="C30" s="263"/>
      <c r="D30" s="215"/>
      <c r="E30" s="264"/>
      <c r="F30" s="173"/>
      <c r="G30" s="223"/>
      <c r="H30" s="175"/>
    </row>
    <row r="31" spans="2:8" ht="15.75" customHeight="1">
      <c r="B31" s="265" t="s">
        <v>223</v>
      </c>
      <c r="C31" s="220" t="s">
        <v>61</v>
      </c>
      <c r="D31" s="221" t="s">
        <v>66</v>
      </c>
      <c r="E31" s="266">
        <f>0.9*$E$10*$E$12*$E$13^2*($E$28*$E$23*$E$11/$E$10)*(1-0.59*($E$28*$E$23*$E$11/$E$10))/100000</f>
        <v>8.0084521810125</v>
      </c>
      <c r="F31" s="267" t="s">
        <v>224</v>
      </c>
      <c r="G31" s="223"/>
      <c r="H31" s="175"/>
    </row>
    <row r="32" spans="2:8" ht="15.75" customHeight="1">
      <c r="B32" s="265" t="s">
        <v>225</v>
      </c>
      <c r="C32" s="220" t="s">
        <v>61</v>
      </c>
      <c r="D32" s="221" t="s">
        <v>68</v>
      </c>
      <c r="E32" s="266">
        <f>14/$E$11*($E$12*$E$13)</f>
        <v>2.3333333333333335</v>
      </c>
      <c r="F32" s="173" t="str">
        <f>IF($E$33&lt;$E$32,"NOTA!!!   Usar As min o 1.33*As  !!!","")</f>
        <v>NOTA!!!   Usar As min o 1.33*As  !!!</v>
      </c>
      <c r="G32" s="223"/>
      <c r="H32" s="175"/>
    </row>
    <row r="33" spans="2:8" ht="15.75" customHeight="1">
      <c r="B33" s="268" t="s">
        <v>226</v>
      </c>
      <c r="C33" s="225" t="s">
        <v>208</v>
      </c>
      <c r="D33" s="226" t="s">
        <v>68</v>
      </c>
      <c r="E33" s="269">
        <f>($E$28*$E$23*$E$12*$E$13)+($E$34*$D$36/$E$11)</f>
        <v>1.4823128915233692</v>
      </c>
      <c r="F33" s="173" t="str">
        <f>IF(OR($E$33&lt;$E$32,$E$33&gt;$E$35),"!!! ERROR !!!","  ok")</f>
        <v>!!! ERROR !!!</v>
      </c>
      <c r="G33" s="223"/>
      <c r="H33" s="175"/>
    </row>
    <row r="34" spans="2:8" ht="15.75" customHeight="1">
      <c r="B34" s="268" t="s">
        <v>227</v>
      </c>
      <c r="C34" s="225" t="s">
        <v>208</v>
      </c>
      <c r="D34" s="226" t="s">
        <v>68</v>
      </c>
      <c r="E34" s="269">
        <f>($E$14-$E$31)*100000/(0.9*$D$36*($E$13-$E$29))</f>
        <v>-5.360187108476631</v>
      </c>
      <c r="F34" s="173" t="str">
        <f>IF(OR($E$33&gt;$E$35,$E$34&gt;$E$35),"!!!Disminuir p max, escogido ",IF($E$34&lt;0,"Disenar como Viga Rectangular",""))</f>
        <v>Disenar como Viga Rectangular</v>
      </c>
      <c r="G34" s="223"/>
      <c r="H34" s="175"/>
    </row>
    <row r="35" spans="2:8" ht="15.75" customHeight="1" thickBot="1">
      <c r="B35" s="270" t="s">
        <v>228</v>
      </c>
      <c r="C35" s="229" t="s">
        <v>61</v>
      </c>
      <c r="D35" s="230" t="s">
        <v>68</v>
      </c>
      <c r="E35" s="271">
        <f>($E$15*$E$36*$E$12*$E$13)</f>
        <v>4.757406445761686</v>
      </c>
      <c r="F35" s="173">
        <f>IF(OR($E$33&gt;$E$35,$E$34&gt;$E$35),"    o  Aumentar dimensiones !!!","")</f>
      </c>
      <c r="G35" s="223"/>
      <c r="H35" s="175"/>
    </row>
    <row r="36" spans="2:8" ht="16.5" thickBot="1">
      <c r="B36" s="194" t="s">
        <v>229</v>
      </c>
      <c r="C36" s="272" t="s">
        <v>230</v>
      </c>
      <c r="D36" s="273">
        <f>IF(6000*(1-$E$29/$E$13*(1+$E$11/6000))&lt;=$E$11,6000*(1-$E$13/$E$29*(1+$E$11/6000)),$E$11)</f>
        <v>4200</v>
      </c>
      <c r="E36" s="274">
        <f>$E$23+$E$34/($E$12*$E$13)*$D$36/$E$11</f>
        <v>0.013592589845033386</v>
      </c>
      <c r="F36" s="235"/>
      <c r="G36" s="223"/>
      <c r="H36" s="175"/>
    </row>
    <row r="37" spans="2:8" ht="18.75" thickTop="1">
      <c r="B37" s="203"/>
      <c r="C37" s="204"/>
      <c r="D37" s="205"/>
      <c r="E37" s="204"/>
      <c r="F37" s="206"/>
      <c r="G37" s="207"/>
      <c r="H37" s="175"/>
    </row>
    <row r="38" spans="2:8" ht="18.75" thickBot="1">
      <c r="B38" s="244" t="s">
        <v>231</v>
      </c>
      <c r="C38" s="209"/>
      <c r="D38" s="210"/>
      <c r="E38" s="209"/>
      <c r="F38" s="211"/>
      <c r="G38" s="212"/>
      <c r="H38" s="175"/>
    </row>
    <row r="39" spans="2:8" ht="22.5">
      <c r="B39" s="169" t="s">
        <v>217</v>
      </c>
      <c r="C39" s="275"/>
      <c r="D39" s="250"/>
      <c r="E39" s="276"/>
      <c r="F39" s="277"/>
      <c r="G39" s="253"/>
      <c r="H39" s="175"/>
    </row>
    <row r="40" spans="2:8" ht="18" customHeight="1">
      <c r="B40" s="177" t="s">
        <v>280</v>
      </c>
      <c r="C40" s="178" t="s">
        <v>281</v>
      </c>
      <c r="D40" s="255" t="s">
        <v>64</v>
      </c>
      <c r="E40" s="278">
        <v>120</v>
      </c>
      <c r="F40" s="279" t="s">
        <v>232</v>
      </c>
      <c r="G40" s="280"/>
      <c r="H40" s="175"/>
    </row>
    <row r="41" spans="2:25" ht="15.75" customHeight="1">
      <c r="B41" s="177" t="s">
        <v>233</v>
      </c>
      <c r="C41" s="178" t="s">
        <v>234</v>
      </c>
      <c r="D41" s="255" t="s">
        <v>64</v>
      </c>
      <c r="E41" s="278">
        <v>40</v>
      </c>
      <c r="F41" s="279" t="s">
        <v>235</v>
      </c>
      <c r="G41" s="280"/>
      <c r="H41" s="175"/>
      <c r="I41" s="163"/>
      <c r="K41" s="163"/>
      <c r="M41" s="163"/>
      <c r="O41" s="163"/>
      <c r="Q41" s="163"/>
      <c r="S41" s="163"/>
      <c r="U41" s="163"/>
      <c r="W41" s="163"/>
      <c r="Y41" s="163"/>
    </row>
    <row r="42" spans="2:8" ht="16.5" customHeight="1" thickBot="1">
      <c r="B42" s="189" t="s">
        <v>236</v>
      </c>
      <c r="C42" s="190" t="s">
        <v>237</v>
      </c>
      <c r="D42" s="258" t="s">
        <v>64</v>
      </c>
      <c r="E42" s="278">
        <v>15</v>
      </c>
      <c r="F42" s="281"/>
      <c r="G42" s="282"/>
      <c r="H42" s="175"/>
    </row>
    <row r="43" spans="2:8" ht="18">
      <c r="B43" s="283" t="s">
        <v>204</v>
      </c>
      <c r="C43" s="284"/>
      <c r="D43" s="285"/>
      <c r="E43" s="264"/>
      <c r="F43" s="286"/>
      <c r="G43" s="282"/>
      <c r="H43" s="175"/>
    </row>
    <row r="44" spans="2:8" ht="15.75" customHeight="1">
      <c r="B44" s="287" t="s">
        <v>238</v>
      </c>
      <c r="C44" s="288" t="s">
        <v>61</v>
      </c>
      <c r="D44" s="289" t="s">
        <v>66</v>
      </c>
      <c r="E44" s="266">
        <f>0.85*$E$10*$E$40*$E$42*($E$13-0.5*$E$42)*0.9/100000</f>
        <v>79.52175</v>
      </c>
      <c r="F44" s="173"/>
      <c r="G44" s="223"/>
      <c r="H44" s="175"/>
    </row>
    <row r="45" spans="2:25" ht="15.75" customHeight="1">
      <c r="B45" s="290" t="s">
        <v>225</v>
      </c>
      <c r="C45" s="288" t="s">
        <v>61</v>
      </c>
      <c r="D45" s="289" t="s">
        <v>68</v>
      </c>
      <c r="E45" s="266">
        <f>14/$E$11*$E$41*$E$13</f>
        <v>4.666666666666667</v>
      </c>
      <c r="F45" s="173" t="str">
        <f>IF($E$14&lt;=$E$44,"!!DISENAR COMO VIGA RECTANGULAR","DISENAR COMO VIGA T")</f>
        <v>!!DISENAR COMO VIGA RECTANGULAR</v>
      </c>
      <c r="G45" s="223"/>
      <c r="H45" s="175"/>
      <c r="I45" s="163"/>
      <c r="K45" s="163"/>
      <c r="M45" s="163"/>
      <c r="O45" s="163"/>
      <c r="Q45" s="163"/>
      <c r="S45" s="163"/>
      <c r="U45" s="163"/>
      <c r="W45" s="163"/>
      <c r="Y45" s="163"/>
    </row>
    <row r="46" spans="2:8" ht="15.75" customHeight="1">
      <c r="B46" s="291" t="s">
        <v>239</v>
      </c>
      <c r="C46" s="292" t="s">
        <v>208</v>
      </c>
      <c r="D46" s="293" t="s">
        <v>68</v>
      </c>
      <c r="E46" s="269">
        <f>$E$41*$E$13*$E$10/$E$11*(1-SQRT(1-2.36*(($E$14*100000-0.9*0.85*$E$10*($E$40-$E$41)*$E$42*($E$13-$E$42/2))/(0.9*$E$10*$E$41*$E$13^2))))/1.18+0.85*$E$10*($E$40-$E$41)*$E$42/$E$11</f>
        <v>20.32057643059331</v>
      </c>
      <c r="F46" s="173" t="str">
        <f>IF($E$14&lt;=$E$44,"    DE ANCHO bp  !!!","DISENAR COMO VIGA T")</f>
        <v>    DE ANCHO bp  !!!</v>
      </c>
      <c r="G46" s="223"/>
      <c r="H46" s="175"/>
    </row>
    <row r="47" spans="2:8" ht="15.75" customHeight="1" thickBot="1">
      <c r="B47" s="294" t="s">
        <v>228</v>
      </c>
      <c r="C47" s="295" t="s">
        <v>61</v>
      </c>
      <c r="D47" s="296" t="s">
        <v>68</v>
      </c>
      <c r="E47" s="271">
        <f>$E$15*$E$40*$E$13*($E$41/$E$40)*(0.85*$E$10*$D$23*6000/$E$11/(6000+$E$11)+(0.85*$E$10*($E$40-$E$41)*$E$42/$E$11)/$E$41/$E$13)</f>
        <v>40.375</v>
      </c>
      <c r="F47" s="260" t="str">
        <f>IF($E$46&gt;E47,"!!ERROR, As&gt;As max, aumentar dimensiones de viga T","  ok")</f>
        <v>  ok</v>
      </c>
      <c r="G47" s="261"/>
      <c r="H47" s="175"/>
    </row>
    <row r="48" spans="2:8" ht="15.75" thickBot="1">
      <c r="B48" s="297"/>
      <c r="C48" s="161"/>
      <c r="D48" s="298"/>
      <c r="E48" s="161"/>
      <c r="F48" s="299"/>
      <c r="G48" s="300"/>
      <c r="H48" s="175"/>
    </row>
    <row r="49" spans="2:8" ht="18.75" thickTop="1">
      <c r="B49" s="301" t="s">
        <v>240</v>
      </c>
      <c r="C49" s="204"/>
      <c r="D49" s="205"/>
      <c r="E49" s="204"/>
      <c r="F49" s="206"/>
      <c r="G49" s="207"/>
      <c r="H49" s="175"/>
    </row>
    <row r="50" spans="2:8" ht="18.75" thickBot="1">
      <c r="B50" s="302" t="s">
        <v>241</v>
      </c>
      <c r="C50" s="209"/>
      <c r="D50" s="210"/>
      <c r="E50" s="209"/>
      <c r="F50" s="211"/>
      <c r="G50" s="212"/>
      <c r="H50" s="175"/>
    </row>
    <row r="51" spans="2:8" ht="23.25" thickTop="1">
      <c r="B51" s="248" t="s">
        <v>217</v>
      </c>
      <c r="C51" s="303"/>
      <c r="D51" s="304"/>
      <c r="E51" s="305"/>
      <c r="F51" s="306"/>
      <c r="G51" s="218"/>
      <c r="H51" s="175"/>
    </row>
    <row r="52" spans="2:8" ht="15.75" customHeight="1">
      <c r="B52" s="254" t="s">
        <v>242</v>
      </c>
      <c r="C52" s="307" t="s">
        <v>243</v>
      </c>
      <c r="D52" s="308" t="s">
        <v>65</v>
      </c>
      <c r="E52" s="256">
        <v>2.77</v>
      </c>
      <c r="F52" s="187" t="s">
        <v>244</v>
      </c>
      <c r="G52" s="280"/>
      <c r="H52" s="175"/>
    </row>
    <row r="53" spans="2:8" ht="15.75" customHeight="1">
      <c r="B53" s="254" t="s">
        <v>245</v>
      </c>
      <c r="C53" s="307" t="s">
        <v>246</v>
      </c>
      <c r="D53" s="308" t="s">
        <v>64</v>
      </c>
      <c r="E53" s="256">
        <v>20</v>
      </c>
      <c r="F53" s="173">
        <f>IF(E11&gt;4200,"FY de la celda D8 debe ser menor a 4200 kg/cm2","")</f>
      </c>
      <c r="G53" s="280"/>
      <c r="H53" s="175"/>
    </row>
    <row r="54" spans="2:9" ht="15.75" customHeight="1">
      <c r="B54" s="309" t="s">
        <v>247</v>
      </c>
      <c r="C54" s="310"/>
      <c r="D54" s="311"/>
      <c r="E54" s="312"/>
      <c r="F54" s="173">
        <f>IF(E11&gt;4200,"      para DISENO POR CORTE","")</f>
      </c>
      <c r="G54" s="280"/>
      <c r="H54" s="313"/>
      <c r="I54" s="314"/>
    </row>
    <row r="55" spans="2:9" ht="15.75" customHeight="1">
      <c r="B55" s="315" t="s">
        <v>248</v>
      </c>
      <c r="C55" s="307" t="s">
        <v>249</v>
      </c>
      <c r="D55" s="308" t="s">
        <v>65</v>
      </c>
      <c r="E55" s="256">
        <v>0</v>
      </c>
      <c r="F55" s="316" t="str">
        <f>IF($E$55&gt;0," &gt; 0   Carga de compresion"," &lt; 0    Carga de Tension")</f>
        <v> &lt; 0    Carga de Tension</v>
      </c>
      <c r="G55" s="280"/>
      <c r="H55" s="313"/>
      <c r="I55" s="314"/>
    </row>
    <row r="56" spans="2:9" ht="15.75" customHeight="1" thickBot="1">
      <c r="B56" s="257" t="s">
        <v>250</v>
      </c>
      <c r="C56" s="317" t="s">
        <v>251</v>
      </c>
      <c r="D56" s="318" t="s">
        <v>282</v>
      </c>
      <c r="E56" s="256">
        <v>0</v>
      </c>
      <c r="F56" s="173"/>
      <c r="G56" s="280"/>
      <c r="H56" s="313"/>
      <c r="I56" s="314"/>
    </row>
    <row r="57" spans="2:9" ht="15.75" customHeight="1">
      <c r="B57" s="319" t="s">
        <v>247</v>
      </c>
      <c r="C57" s="249"/>
      <c r="D57" s="320"/>
      <c r="E57" s="312"/>
      <c r="F57" s="173"/>
      <c r="G57" s="280"/>
      <c r="H57" s="313"/>
      <c r="I57" s="314"/>
    </row>
    <row r="58" spans="2:9" ht="15.75" customHeight="1">
      <c r="B58" s="177" t="s">
        <v>252</v>
      </c>
      <c r="C58" s="307" t="s">
        <v>253</v>
      </c>
      <c r="D58" s="179" t="s">
        <v>66</v>
      </c>
      <c r="E58" s="256">
        <v>1.58</v>
      </c>
      <c r="F58" s="173"/>
      <c r="G58" s="280"/>
      <c r="H58" s="313"/>
      <c r="I58" s="314"/>
    </row>
    <row r="59" spans="2:9" ht="15.75" customHeight="1">
      <c r="B59" s="177" t="s">
        <v>254</v>
      </c>
      <c r="C59" s="321" t="s">
        <v>283</v>
      </c>
      <c r="D59" s="179" t="s">
        <v>284</v>
      </c>
      <c r="E59" s="322">
        <f>20*20*40</f>
        <v>16000</v>
      </c>
      <c r="F59" s="323" t="s">
        <v>255</v>
      </c>
      <c r="G59" s="280"/>
      <c r="H59" s="313"/>
      <c r="I59" s="314"/>
    </row>
    <row r="60" spans="2:9" ht="15.75" customHeight="1">
      <c r="B60" s="177" t="s">
        <v>256</v>
      </c>
      <c r="C60" s="324" t="s">
        <v>257</v>
      </c>
      <c r="D60" s="179" t="s">
        <v>64</v>
      </c>
      <c r="E60" s="256">
        <v>15</v>
      </c>
      <c r="F60" s="323" t="s">
        <v>258</v>
      </c>
      <c r="G60" s="280"/>
      <c r="H60" s="313"/>
      <c r="I60" s="314"/>
    </row>
    <row r="61" spans="2:9" ht="15.75" customHeight="1" thickBot="1">
      <c r="B61" s="189" t="s">
        <v>259</v>
      </c>
      <c r="C61" s="324" t="s">
        <v>260</v>
      </c>
      <c r="D61" s="191" t="s">
        <v>64</v>
      </c>
      <c r="E61" s="259">
        <v>35</v>
      </c>
      <c r="F61" s="323" t="s">
        <v>258</v>
      </c>
      <c r="G61" s="280"/>
      <c r="H61" s="313"/>
      <c r="I61" s="314"/>
    </row>
    <row r="62" spans="2:9" ht="18">
      <c r="B62" s="325" t="s">
        <v>261</v>
      </c>
      <c r="C62" s="326"/>
      <c r="D62" s="327"/>
      <c r="E62" s="274"/>
      <c r="F62" s="328"/>
      <c r="G62" s="329"/>
      <c r="H62" s="330"/>
      <c r="I62" s="314"/>
    </row>
    <row r="63" spans="2:9" ht="15">
      <c r="B63" s="194" t="s">
        <v>262</v>
      </c>
      <c r="C63" s="331" t="s">
        <v>61</v>
      </c>
      <c r="D63" s="233" t="s">
        <v>63</v>
      </c>
      <c r="E63" s="274">
        <f>0.53*SQRT($E$10)*$D$67/SQRT(1+($F$67/1.2)^2)</f>
        <v>1.215574293427867</v>
      </c>
      <c r="F63" s="332"/>
      <c r="G63" s="333"/>
      <c r="H63" s="330"/>
      <c r="I63" s="314"/>
    </row>
    <row r="64" spans="2:9" ht="18">
      <c r="B64" s="334" t="s">
        <v>263</v>
      </c>
      <c r="C64" s="335" t="s">
        <v>61</v>
      </c>
      <c r="D64" s="336" t="s">
        <v>63</v>
      </c>
      <c r="E64" s="337">
        <f>$E$52*1000/(0.85*$E$53*$E$13)</f>
        <v>4.65546218487395</v>
      </c>
      <c r="F64" s="338" t="str">
        <f>IF($E$64-$E$63&gt;2.1*SQRT($E$10),"!!!Aumentar dimensiones",IF($E$64&lt;=$E$63/2,"No se necesita refuerzo por corte","ok"))</f>
        <v>ok</v>
      </c>
      <c r="G64" s="339"/>
      <c r="H64" s="330"/>
      <c r="I64" s="314"/>
    </row>
    <row r="65" spans="2:9" ht="15.75">
      <c r="B65" s="194" t="s">
        <v>264</v>
      </c>
      <c r="C65" s="331" t="s">
        <v>61</v>
      </c>
      <c r="D65" s="233" t="s">
        <v>63</v>
      </c>
      <c r="E65" s="274">
        <f>0.63*SQRT($E$10)*$D$67/SQRT(1+($E$67*1.2)^2)</f>
        <v>9.014498503323484</v>
      </c>
      <c r="F65" s="340"/>
      <c r="G65" s="341"/>
      <c r="H65" s="330"/>
      <c r="I65" s="314"/>
    </row>
    <row r="66" spans="2:9" ht="18">
      <c r="B66" s="334" t="s">
        <v>265</v>
      </c>
      <c r="C66" s="335" t="s">
        <v>61</v>
      </c>
      <c r="D66" s="336" t="s">
        <v>63</v>
      </c>
      <c r="E66" s="337">
        <f>IF($E$59&gt;0,3*100000*$E$58/0.85/$E$59,0)</f>
        <v>34.85294117647059</v>
      </c>
      <c r="F66" s="338" t="str">
        <f>IF(E66&gt;5*E65,"!!!Aumentar Dimensiones",IF(E66&lt;0.4*SQRT(E10),"No se necesita refuerzo por torsion","ok"))</f>
        <v>ok</v>
      </c>
      <c r="G66" s="339"/>
      <c r="H66" s="330"/>
      <c r="I66" s="342"/>
    </row>
    <row r="67" spans="2:9" ht="15">
      <c r="B67" s="194" t="s">
        <v>266</v>
      </c>
      <c r="C67" s="331" t="s">
        <v>267</v>
      </c>
      <c r="D67" s="233">
        <f>IF(AND($E$56&gt;0,$E$55&lt;=0),1+0.0285*$E$55*1000/$E$56,IF(AND($E$56&gt;0,$E$55&gt;0),MIN(1+0.007*$E$55*1000/$E$56,SQRT(1+0.0285*$E$55*1000/$E$56)*0.9/0.53),1))</f>
        <v>1</v>
      </c>
      <c r="E67" s="274">
        <f>IF($E$66=0,0,$E$64/$E$66)</f>
        <v>0.13357444243520195</v>
      </c>
      <c r="F67" s="233">
        <f>IF($E$64=0,0,$E$66/$E$64)</f>
        <v>7.486462093862815</v>
      </c>
      <c r="G67" s="341"/>
      <c r="H67" s="330"/>
      <c r="I67" s="314"/>
    </row>
    <row r="68" spans="2:9" ht="15.75" thickBot="1">
      <c r="B68" s="194" t="s">
        <v>268</v>
      </c>
      <c r="C68" s="343" t="s">
        <v>267</v>
      </c>
      <c r="D68" s="344">
        <f>IF($E$64-$E$63&gt;0,($E$64-$E$63)*$E$53/2/$E$11,0)</f>
        <v>0.008190209265347817</v>
      </c>
      <c r="E68" s="345">
        <f>IF(AND($E$66&gt;0.4*SQRT($E$10),$E$66-$E$65&gt;0),($E$66-$E$65)*$E$59/(3*MIN(0.66+0.33*$E$61/$E$60,1.5)*$E$60*$E$61*$E$11),0)</f>
        <v>0.04370392388250412</v>
      </c>
      <c r="F68" s="346"/>
      <c r="G68" s="347"/>
      <c r="H68" s="330"/>
      <c r="I68" s="314"/>
    </row>
    <row r="69" spans="2:9" ht="19.5" thickBot="1" thickTop="1">
      <c r="B69" s="348" t="s">
        <v>204</v>
      </c>
      <c r="C69" s="161"/>
      <c r="D69" s="349"/>
      <c r="E69" s="350"/>
      <c r="F69" s="350"/>
      <c r="G69" s="351"/>
      <c r="H69" s="330"/>
      <c r="I69" s="314"/>
    </row>
    <row r="70" spans="2:9" ht="18.75" thickBot="1">
      <c r="B70" s="352" t="s">
        <v>269</v>
      </c>
      <c r="C70" s="353">
        <v>12</v>
      </c>
      <c r="D70" s="354" t="s">
        <v>270</v>
      </c>
      <c r="E70" s="355"/>
      <c r="F70" s="355"/>
      <c r="G70" s="356">
        <f>SQRT((+$D$68+$E$68)*$C$70*4/PI())*10</f>
        <v>8.904403121844625</v>
      </c>
      <c r="H70" s="330"/>
      <c r="I70" s="314"/>
    </row>
    <row r="71" spans="2:9" ht="18">
      <c r="B71" s="357" t="s">
        <v>271</v>
      </c>
      <c r="C71" s="358" t="s">
        <v>61</v>
      </c>
      <c r="D71" s="359" t="s">
        <v>64</v>
      </c>
      <c r="E71" s="360">
        <f>IF($E$64-$E$63&gt;SQRT($E$10),MIN(0.25*$E$13,30),MIN(0.5*$E$13,60))</f>
        <v>17.5</v>
      </c>
      <c r="F71" s="361" t="str">
        <f>IF(E64-E63&gt;2.1*SQRT(E10),"!!!AUMENTAR DIMENSIONES",IF($E$71&lt;$C$70,"Disminuir espaciamiento  S","ok"))</f>
        <v>ok</v>
      </c>
      <c r="G71" s="339"/>
      <c r="H71" s="330"/>
      <c r="I71" s="314"/>
    </row>
    <row r="72" spans="2:9" ht="15.75" thickBot="1">
      <c r="B72" s="362" t="s">
        <v>272</v>
      </c>
      <c r="C72" s="363" t="s">
        <v>61</v>
      </c>
      <c r="D72" s="364" t="s">
        <v>273</v>
      </c>
      <c r="E72" s="365">
        <f>SQRT(3.52*$E$53*$C$70/$E$11/2*4/PI())</f>
        <v>0.3578428704440689</v>
      </c>
      <c r="F72" s="366" t="str">
        <f>IF($E$72&gt;$G$70,"!!!Colocar diametro minimo","ok")</f>
        <v>ok</v>
      </c>
      <c r="G72" s="367"/>
      <c r="H72" s="330"/>
      <c r="I72" s="314"/>
    </row>
    <row r="73" spans="2:9" ht="6.75" customHeight="1" thickBot="1">
      <c r="B73" s="274"/>
      <c r="C73" s="368"/>
      <c r="D73" s="233"/>
      <c r="E73" s="368"/>
      <c r="F73" s="368"/>
      <c r="G73" s="400"/>
      <c r="H73" s="330"/>
      <c r="I73" s="314"/>
    </row>
    <row r="74" spans="2:9" ht="19.5">
      <c r="B74" s="369" t="str">
        <f>IF(E66&gt;0.4*SQRT(E10),"A más del acero longitudinal por flexión, se debe AÑADIR acero","")</f>
        <v>A más del acero longitudinal por flexión, se debe AÑADIR acero</v>
      </c>
      <c r="C74" s="370"/>
      <c r="D74" s="371"/>
      <c r="E74" s="370"/>
      <c r="F74" s="370"/>
      <c r="G74" s="399"/>
      <c r="H74" s="398"/>
      <c r="I74" s="314"/>
    </row>
    <row r="75" spans="2:9" s="163" customFormat="1" ht="20.25" thickBot="1">
      <c r="B75" s="372" t="str">
        <f>IF(E66&gt;0.4*SQRT(E10),"longitudinal adicional por torsión distrib. en las caras laterales=","")</f>
        <v>longitudinal adicional por torsión distrib. en las caras laterales=</v>
      </c>
      <c r="C75" s="373"/>
      <c r="D75" s="373"/>
      <c r="E75" s="373"/>
      <c r="F75" s="373"/>
      <c r="G75" s="374">
        <f>IF($E$66&gt;0.4*SQRT($E$10),MAX(2*$E$68*($E$60+$E$61),MIN((28*MIN($E$53,$E$13+4)*$C$70/$E$11*$E$66/($E$66+$E$64)-2*$E$68*$C$70)*($E$60+$E$61)/$C$70,(28*MIN($E$53,$E$13+4)*$C$70/$E$11*$E$66/($E$66+$E$64)-3.5*$E$53*$C$70/$E$11)*($E$60+$E$61)/$C$70)),"")</f>
        <v>4.370392388250412</v>
      </c>
      <c r="H75" s="398"/>
      <c r="I75" s="375"/>
    </row>
    <row r="76" spans="2:9" ht="15.75" thickTop="1">
      <c r="B76" s="161"/>
      <c r="C76" s="161"/>
      <c r="D76" s="298"/>
      <c r="E76" s="161"/>
      <c r="F76" s="161"/>
      <c r="G76" s="161"/>
      <c r="H76" s="314"/>
      <c r="I76" s="314"/>
    </row>
    <row r="77" spans="8:9" ht="15">
      <c r="H77" s="314"/>
      <c r="I77" s="314"/>
    </row>
    <row r="78" spans="8:9" ht="15">
      <c r="H78" s="314"/>
      <c r="I78" s="314"/>
    </row>
    <row r="79" spans="8:9" ht="15">
      <c r="H79" s="314"/>
      <c r="I79" s="314"/>
    </row>
    <row r="80" spans="8:9" ht="15">
      <c r="H80" s="314"/>
      <c r="I80" s="314"/>
    </row>
    <row r="81" spans="8:9" ht="15">
      <c r="H81" s="314"/>
      <c r="I81" s="314"/>
    </row>
    <row r="82" spans="8:9" ht="15">
      <c r="H82" s="314"/>
      <c r="I82" s="314"/>
    </row>
    <row r="83" spans="8:9" ht="15">
      <c r="H83" s="314"/>
      <c r="I83" s="314"/>
    </row>
    <row r="84" spans="8:9" ht="15">
      <c r="H84" s="314"/>
      <c r="I84" s="314"/>
    </row>
    <row r="85" spans="8:9" ht="15">
      <c r="H85" s="314"/>
      <c r="I85" s="314"/>
    </row>
    <row r="86" spans="8:9" ht="15">
      <c r="H86" s="314"/>
      <c r="I86" s="314"/>
    </row>
    <row r="87" spans="8:9" ht="15">
      <c r="H87" s="314"/>
      <c r="I87" s="314"/>
    </row>
  </sheetData>
  <sheetProtection password="C965" sheet="1"/>
  <mergeCells count="2">
    <mergeCell ref="F8:G8"/>
    <mergeCell ref="C2:J3"/>
  </mergeCells>
  <hyperlinks>
    <hyperlink ref="B4" r:id="rId1" display="rfrosadoj@hotmail.com"/>
    <hyperlink ref="B3" r:id="rId2" display="hidrosoft@hotmail.com"/>
  </hyperlinks>
  <printOptions/>
  <pageMargins left="0.75" right="0.75" top="1" bottom="1" header="0" footer="0"/>
  <pageSetup horizontalDpi="300" verticalDpi="300" orientation="portrait" paperSize="9" scale="22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 transitionEntry="1"/>
  <dimension ref="B1:M141"/>
  <sheetViews>
    <sheetView zoomScalePageLayoutView="0" workbookViewId="0" topLeftCell="B1">
      <selection activeCell="M1" sqref="M1"/>
    </sheetView>
  </sheetViews>
  <sheetFormatPr defaultColWidth="9.796875" defaultRowHeight="15"/>
  <cols>
    <col min="1" max="1" width="1.69921875" style="10" customWidth="1"/>
    <col min="2" max="2" width="21.796875" style="10" customWidth="1"/>
    <col min="3" max="4" width="8.796875" style="10" customWidth="1"/>
    <col min="5" max="5" width="11.8984375" style="10" customWidth="1"/>
    <col min="6" max="6" width="20.796875" style="10" customWidth="1"/>
    <col min="7" max="8" width="10.796875" style="10" customWidth="1"/>
    <col min="9" max="9" width="8.59765625" style="10" customWidth="1"/>
    <col min="10" max="10" width="3.59765625" style="10" customWidth="1"/>
    <col min="11" max="12" width="6.796875" style="10" customWidth="1"/>
    <col min="13" max="13" width="25.796875" style="10" customWidth="1"/>
    <col min="14" max="14" width="11.796875" style="10" customWidth="1"/>
    <col min="15" max="15" width="25.796875" style="10" customWidth="1"/>
    <col min="16" max="16" width="11.796875" style="10" customWidth="1"/>
    <col min="17" max="17" width="25.796875" style="10" customWidth="1"/>
    <col min="18" max="18" width="11.796875" style="10" customWidth="1"/>
    <col min="19" max="19" width="25.796875" style="10" customWidth="1"/>
    <col min="20" max="20" width="11.796875" style="10" customWidth="1"/>
    <col min="21" max="21" width="25.796875" style="10" customWidth="1"/>
    <col min="22" max="22" width="11.796875" style="10" customWidth="1"/>
    <col min="23" max="23" width="25.796875" style="10" customWidth="1"/>
    <col min="24" max="24" width="11.796875" style="10" customWidth="1"/>
    <col min="25" max="25" width="25.796875" style="10" customWidth="1"/>
    <col min="26" max="16384" width="9.796875" style="10" customWidth="1"/>
  </cols>
  <sheetData>
    <row r="1" ht="117" customHeight="1">
      <c r="B1" s="409" t="s">
        <v>423</v>
      </c>
    </row>
    <row r="2" spans="2:3" ht="30" customHeight="1">
      <c r="B2" s="387" t="s">
        <v>187</v>
      </c>
      <c r="C2" s="7" t="s">
        <v>168</v>
      </c>
    </row>
    <row r="3" spans="2:3" ht="15.75">
      <c r="B3" s="408" t="s">
        <v>422</v>
      </c>
      <c r="C3" s="8" t="s">
        <v>169</v>
      </c>
    </row>
    <row r="4" spans="2:3" ht="15.75">
      <c r="B4" s="408" t="s">
        <v>341</v>
      </c>
      <c r="C4" s="8" t="s">
        <v>170</v>
      </c>
    </row>
    <row r="5" spans="2:3" ht="15.75">
      <c r="B5" s="410" t="s">
        <v>421</v>
      </c>
      <c r="C5" s="8"/>
    </row>
    <row r="6" spans="2:3" ht="21" customHeight="1" thickBot="1">
      <c r="B6" s="410" t="s">
        <v>424</v>
      </c>
      <c r="C6" s="46" t="s">
        <v>161</v>
      </c>
    </row>
    <row r="7" spans="2:11" s="95" customFormat="1" ht="27.75" thickBot="1" thickTop="1">
      <c r="B7" s="81" t="s">
        <v>0</v>
      </c>
      <c r="C7" s="82" t="s">
        <v>44</v>
      </c>
      <c r="D7" s="82" t="s">
        <v>62</v>
      </c>
      <c r="E7" s="82" t="s">
        <v>74</v>
      </c>
      <c r="F7" s="83" t="s">
        <v>78</v>
      </c>
      <c r="G7" s="92"/>
      <c r="H7" s="114" t="b">
        <v>1</v>
      </c>
      <c r="I7" s="93"/>
      <c r="J7" s="94"/>
      <c r="K7" s="49" t="s">
        <v>152</v>
      </c>
    </row>
    <row r="8" spans="2:11" s="95" customFormat="1" ht="15.75" customHeight="1" thickBot="1" thickTop="1">
      <c r="B8" s="57" t="s">
        <v>1</v>
      </c>
      <c r="C8" s="58" t="s">
        <v>148</v>
      </c>
      <c r="D8" s="58" t="s">
        <v>63</v>
      </c>
      <c r="E8" s="59">
        <v>240</v>
      </c>
      <c r="F8" s="415" t="str">
        <f>IF(OR(H7=1),"    SI    se considera la ESBELTEZ","    NO    se considera la ESBELTEZ")</f>
        <v>    SI    se considera la ESBELTEZ</v>
      </c>
      <c r="G8" s="416"/>
      <c r="H8" s="416"/>
      <c r="I8" s="417"/>
      <c r="J8" s="94"/>
      <c r="K8" s="50" t="s">
        <v>153</v>
      </c>
    </row>
    <row r="9" spans="2:11" s="95" customFormat="1" ht="15.75" customHeight="1" thickTop="1">
      <c r="B9" s="60" t="s">
        <v>2</v>
      </c>
      <c r="C9" s="61" t="s">
        <v>149</v>
      </c>
      <c r="D9" s="61" t="s">
        <v>63</v>
      </c>
      <c r="E9" s="62">
        <v>4200</v>
      </c>
      <c r="F9" s="70" t="s">
        <v>79</v>
      </c>
      <c r="G9" s="146" t="s">
        <v>95</v>
      </c>
      <c r="H9" s="146" t="s">
        <v>98</v>
      </c>
      <c r="I9" s="145"/>
      <c r="J9" s="94"/>
      <c r="K9" s="51" t="s">
        <v>154</v>
      </c>
    </row>
    <row r="10" spans="2:11" s="95" customFormat="1" ht="15.75" customHeight="1">
      <c r="B10" s="60" t="s">
        <v>3</v>
      </c>
      <c r="C10" s="61" t="s">
        <v>150</v>
      </c>
      <c r="D10" s="61" t="s">
        <v>64</v>
      </c>
      <c r="E10" s="62">
        <v>70</v>
      </c>
      <c r="F10" s="69" t="s">
        <v>80</v>
      </c>
      <c r="G10" s="40">
        <v>4.65</v>
      </c>
      <c r="H10" s="40">
        <v>2.06</v>
      </c>
      <c r="I10" s="80" t="s">
        <v>100</v>
      </c>
      <c r="J10" s="94"/>
      <c r="K10" s="52" t="s">
        <v>155</v>
      </c>
    </row>
    <row r="11" spans="2:11" s="95" customFormat="1" ht="15.75" customHeight="1">
      <c r="B11" s="60" t="s">
        <v>4</v>
      </c>
      <c r="C11" s="61" t="s">
        <v>151</v>
      </c>
      <c r="D11" s="61" t="s">
        <v>64</v>
      </c>
      <c r="E11" s="62">
        <v>50</v>
      </c>
      <c r="F11" s="70" t="s">
        <v>81</v>
      </c>
      <c r="G11" s="39">
        <v>4.65</v>
      </c>
      <c r="H11" s="39">
        <v>2.06</v>
      </c>
      <c r="I11" s="80" t="s">
        <v>100</v>
      </c>
      <c r="J11" s="94"/>
      <c r="K11" s="53" t="s">
        <v>156</v>
      </c>
    </row>
    <row r="12" spans="2:11" s="95" customFormat="1" ht="15.75" customHeight="1">
      <c r="B12" s="60" t="s">
        <v>5</v>
      </c>
      <c r="C12" s="61" t="s">
        <v>45</v>
      </c>
      <c r="D12" s="61" t="s">
        <v>64</v>
      </c>
      <c r="E12" s="62">
        <v>3.5</v>
      </c>
      <c r="F12" s="70" t="s">
        <v>82</v>
      </c>
      <c r="G12" s="71">
        <v>500</v>
      </c>
      <c r="H12" s="71">
        <v>500</v>
      </c>
      <c r="I12" s="80" t="s">
        <v>100</v>
      </c>
      <c r="J12" s="94"/>
      <c r="K12" s="54" t="s">
        <v>157</v>
      </c>
    </row>
    <row r="13" spans="2:10" s="95" customFormat="1" ht="15.75" customHeight="1">
      <c r="B13" s="60" t="s">
        <v>6</v>
      </c>
      <c r="C13" s="61" t="s">
        <v>46</v>
      </c>
      <c r="D13" s="61" t="s">
        <v>64</v>
      </c>
      <c r="E13" s="62">
        <v>3.5</v>
      </c>
      <c r="F13" s="70" t="s">
        <v>83</v>
      </c>
      <c r="G13" s="77" t="s">
        <v>96</v>
      </c>
      <c r="H13" s="77" t="s">
        <v>96</v>
      </c>
      <c r="I13" s="80" t="s">
        <v>100</v>
      </c>
      <c r="J13" s="94"/>
    </row>
    <row r="14" spans="2:10" s="95" customFormat="1" ht="15.75" customHeight="1">
      <c r="B14" s="60" t="s">
        <v>7</v>
      </c>
      <c r="C14" s="61" t="s">
        <v>47</v>
      </c>
      <c r="D14" s="61" t="s">
        <v>65</v>
      </c>
      <c r="E14" s="62">
        <v>120</v>
      </c>
      <c r="F14" s="70" t="s">
        <v>84</v>
      </c>
      <c r="G14" s="39">
        <v>0.15</v>
      </c>
      <c r="H14" s="39">
        <v>0.15</v>
      </c>
      <c r="I14" s="80" t="s">
        <v>100</v>
      </c>
      <c r="J14" s="94"/>
    </row>
    <row r="15" spans="2:10" s="95" customFormat="1" ht="15.75" customHeight="1">
      <c r="B15" s="60" t="s">
        <v>166</v>
      </c>
      <c r="C15" s="61" t="s">
        <v>164</v>
      </c>
      <c r="D15" s="61" t="s">
        <v>66</v>
      </c>
      <c r="E15" s="62">
        <v>18</v>
      </c>
      <c r="F15" s="70" t="s">
        <v>158</v>
      </c>
      <c r="G15" s="72">
        <v>1</v>
      </c>
      <c r="H15" s="72">
        <v>1</v>
      </c>
      <c r="I15" s="80" t="s">
        <v>100</v>
      </c>
      <c r="J15" s="94"/>
    </row>
    <row r="16" spans="2:10" s="95" customFormat="1" ht="15.75" customHeight="1">
      <c r="B16" s="60" t="s">
        <v>167</v>
      </c>
      <c r="C16" s="61" t="s">
        <v>165</v>
      </c>
      <c r="D16" s="61" t="s">
        <v>66</v>
      </c>
      <c r="E16" s="62">
        <v>40</v>
      </c>
      <c r="F16" s="70" t="s">
        <v>85</v>
      </c>
      <c r="G16" s="39">
        <v>2.2</v>
      </c>
      <c r="H16" s="39">
        <v>1.6</v>
      </c>
      <c r="I16" s="80" t="s">
        <v>100</v>
      </c>
      <c r="J16" s="94"/>
    </row>
    <row r="17" spans="2:10" s="95" customFormat="1" ht="15.75" customHeight="1">
      <c r="B17" s="63" t="s">
        <v>147</v>
      </c>
      <c r="C17" s="96"/>
      <c r="D17" s="96"/>
      <c r="E17" s="97"/>
      <c r="F17" s="74" t="s">
        <v>86</v>
      </c>
      <c r="G17" s="73">
        <f>IF(OR(G13="S",G13="s"),(G10*G11/4*C31^2+(G10+G11)/2*(1-C31/TAN(C31))+2*TAN(C31/2)/C31-1),(G10*G11*C31^2-36)/6/(G10+G11)-C31/TAN(C31))</f>
        <v>-0.06029610960574075</v>
      </c>
      <c r="H17" s="73">
        <f>IF(OR(H13="S",H13="s"),(H10*H11/4*D31^2+(H10+H11)/2*(1-D31/TAN(D31))+2*TAN(D31/2)/D31-1),(H10*H11*D31^2-36)/6/(H10+H11)-D31/TAN(D31))</f>
        <v>0.018824689202173617</v>
      </c>
      <c r="I17" s="75" t="s">
        <v>101</v>
      </c>
      <c r="J17" s="94"/>
    </row>
    <row r="18" spans="2:10" s="95" customFormat="1" ht="15.75" customHeight="1">
      <c r="B18" s="60" t="s">
        <v>9</v>
      </c>
      <c r="C18" s="61" t="s">
        <v>48</v>
      </c>
      <c r="D18" s="64" t="s">
        <v>67</v>
      </c>
      <c r="E18" s="62">
        <v>38</v>
      </c>
      <c r="F18" s="74" t="s">
        <v>87</v>
      </c>
      <c r="G18" s="76" t="str">
        <f>IF((OR(G13="S",G13="s")),IF(ABS(G10*G11/4*C31^2+(G10+G11)/2*(1-C31/TAN(C31))+2*TAN(C31/2)/C31-1)&lt;0.5,"OK","REVISAR k"),IF(ABS((G10*G11*C31^2-36)/6/(G10+G11)-C31/TAN(C31))&lt;0.3,"OK","REVISAR k"))</f>
        <v>OK</v>
      </c>
      <c r="H18" s="76" t="str">
        <f>IF((OR(H13="S",H13="s")),IF(ABS(H10*H11/4*D31^2+(H10+H11)/2*(1-D31/TAN(D31))+2*TAN(D31/2)/D31-1)&lt;0.5,"OK","REVISAR k"),IF(ABS((H10*H11*D31^2-36)/6/(H10+H11)-D31/TAN(D31))&lt;0.3,"OK","REVISAR k"))</f>
        <v>OK</v>
      </c>
      <c r="I18" s="75" t="s">
        <v>102</v>
      </c>
      <c r="J18" s="94"/>
    </row>
    <row r="19" spans="2:10" s="95" customFormat="1" ht="15.75" customHeight="1" thickBot="1">
      <c r="B19" s="65" t="s">
        <v>8</v>
      </c>
      <c r="C19" s="66" t="s">
        <v>49</v>
      </c>
      <c r="D19" s="66" t="s">
        <v>67</v>
      </c>
      <c r="E19" s="67">
        <f>100-E18</f>
        <v>62</v>
      </c>
      <c r="F19" s="78" t="s">
        <v>88</v>
      </c>
      <c r="G19" s="68">
        <f>IF(C32&lt;=22,1,IF(C32&gt;100,"AUMENTAR DIMENSIONES",G15/(1-E14*1000/E40/((PI()/G16/G12)^2*(15000*SQRT(E8)*(E11*E10^3/12)/2.5/(1+G14))))))</f>
        <v>1.2224034304695777</v>
      </c>
      <c r="H19" s="68">
        <f>IF(D32&lt;=22,1,IF(D32&gt;100,"AUMENTAR DIMENSIONES",H15/(1-E14*1000/E40/((PI()/H16/H12)^2*(15000*SQRT(E8)*(E10*E11^3/12)/2.5/(1+H14))))))</f>
        <v>1.232461448853133</v>
      </c>
      <c r="I19" s="144" t="s">
        <v>103</v>
      </c>
      <c r="J19" s="94"/>
    </row>
    <row r="20" spans="2:10" ht="15.75" customHeight="1" thickBot="1" thickTop="1">
      <c r="B20" s="138" t="s">
        <v>171</v>
      </c>
      <c r="C20" s="41" t="s">
        <v>50</v>
      </c>
      <c r="D20" s="41" t="s">
        <v>68</v>
      </c>
      <c r="E20" s="42">
        <v>59</v>
      </c>
      <c r="F20" s="139" t="s">
        <v>188</v>
      </c>
      <c r="G20" s="141">
        <f>+AS/LX/LY</f>
        <v>0.01685714285714286</v>
      </c>
      <c r="H20" s="140"/>
      <c r="J20" s="142"/>
    </row>
    <row r="21" spans="2:11" ht="17.25" thickBot="1" thickTop="1">
      <c r="B21" s="118" t="s">
        <v>89</v>
      </c>
      <c r="C21" s="119"/>
      <c r="D21" s="119"/>
      <c r="E21" s="120"/>
      <c r="I21" s="143"/>
      <c r="J21" s="113"/>
      <c r="K21" s="104"/>
    </row>
    <row r="22" spans="2:11" ht="17.25" thickBot="1" thickTop="1">
      <c r="B22" s="121" t="s">
        <v>90</v>
      </c>
      <c r="C22" s="122"/>
      <c r="D22" s="122"/>
      <c r="E22" s="123"/>
      <c r="F22" s="115" t="s">
        <v>10</v>
      </c>
      <c r="G22" s="101"/>
      <c r="H22" s="101"/>
      <c r="I22" s="131"/>
      <c r="J22" s="113"/>
      <c r="K22" s="104"/>
    </row>
    <row r="23" spans="2:11" ht="17.25" thickBot="1" thickTop="1">
      <c r="B23" s="124" t="str">
        <f>F77</f>
        <v>GOBIERNA EL DISENO Mxx</v>
      </c>
      <c r="C23" s="55"/>
      <c r="D23" s="55"/>
      <c r="E23" s="125"/>
      <c r="F23" s="116"/>
      <c r="G23" s="102"/>
      <c r="H23" s="44" t="s">
        <v>69</v>
      </c>
      <c r="I23" s="132" t="s">
        <v>75</v>
      </c>
      <c r="J23" s="113"/>
      <c r="K23" s="104"/>
    </row>
    <row r="24" spans="2:11" ht="20.25" thickBot="1" thickTop="1">
      <c r="B24" s="126" t="str">
        <f>F78</f>
        <v>LA DIFERENCIA DE MOMENTOS ES DEL</v>
      </c>
      <c r="C24" s="56"/>
      <c r="D24" s="56"/>
      <c r="E24" s="127">
        <f>I78</f>
        <v>20.614375336751024</v>
      </c>
      <c r="F24" s="117" t="s">
        <v>11</v>
      </c>
      <c r="G24" s="103"/>
      <c r="H24" s="45">
        <f>H58</f>
        <v>49.875037205681124</v>
      </c>
      <c r="I24" s="133">
        <f>I58</f>
        <v>119.99999999999996</v>
      </c>
      <c r="J24" s="113"/>
      <c r="K24" s="104"/>
    </row>
    <row r="25" spans="2:11" ht="20.25" thickBot="1" thickTop="1">
      <c r="B25" s="128" t="str">
        <f>F76</f>
        <v>AUMENTAR LA SECCION DE ACERO A</v>
      </c>
      <c r="C25" s="129"/>
      <c r="D25" s="129"/>
      <c r="E25" s="130">
        <f>I76</f>
        <v>71.1624814486831</v>
      </c>
      <c r="F25" s="134" t="s">
        <v>12</v>
      </c>
      <c r="G25" s="135"/>
      <c r="H25" s="136">
        <f>H69</f>
        <v>77.79242701910644</v>
      </c>
      <c r="I25" s="137">
        <f>I69</f>
        <v>119.99999999999996</v>
      </c>
      <c r="J25" s="113"/>
      <c r="K25" s="104"/>
    </row>
    <row r="26" spans="2:10" ht="15">
      <c r="B26" s="104"/>
      <c r="C26" s="104"/>
      <c r="D26" s="104"/>
      <c r="E26" s="104"/>
      <c r="F26" s="104"/>
      <c r="G26" s="104"/>
      <c r="H26" s="104"/>
      <c r="I26" s="104"/>
      <c r="J26" s="104"/>
    </row>
    <row r="27" ht="15"/>
    <row r="28" ht="20.25">
      <c r="B28" s="79" t="s">
        <v>13</v>
      </c>
    </row>
    <row r="29" ht="15">
      <c r="B29" s="86" t="str">
        <f>IF(OR(H7=1),"SI se considera la ESBELTEZ","NO se considera la ESBELTEZ")</f>
        <v>SI se considera la ESBELTEZ</v>
      </c>
    </row>
    <row r="30" spans="3:5" ht="15">
      <c r="C30" s="11" t="s">
        <v>51</v>
      </c>
      <c r="D30" s="11" t="s">
        <v>70</v>
      </c>
      <c r="E30" s="6"/>
    </row>
    <row r="31" spans="2:5" ht="15">
      <c r="B31" s="11" t="s">
        <v>14</v>
      </c>
      <c r="C31" s="12">
        <f>PI()/G16</f>
        <v>1.427996660722633</v>
      </c>
      <c r="D31" s="12">
        <f>PI()/H16</f>
        <v>1.9634954084936207</v>
      </c>
      <c r="E31" s="6"/>
    </row>
    <row r="32" spans="2:5" ht="15">
      <c r="B32" s="4" t="s">
        <v>15</v>
      </c>
      <c r="C32" s="6">
        <f>G16*G12/(0.3*E10)</f>
        <v>52.38095238095238</v>
      </c>
      <c r="D32" s="6">
        <f>H16*H12/(0.3*E11)</f>
        <v>53.333333333333336</v>
      </c>
      <c r="E32" s="6"/>
    </row>
    <row r="33" spans="2:4" ht="15">
      <c r="B33" s="105"/>
      <c r="C33" s="105"/>
      <c r="D33" s="105"/>
    </row>
    <row r="34" ht="15"/>
    <row r="35" ht="18">
      <c r="B35" s="9" t="s">
        <v>16</v>
      </c>
    </row>
    <row r="36" ht="18">
      <c r="B36" s="9" t="s">
        <v>17</v>
      </c>
    </row>
    <row r="37" spans="2:6" ht="15">
      <c r="B37" s="11" t="s">
        <v>18</v>
      </c>
      <c r="C37" s="13" t="s">
        <v>52</v>
      </c>
      <c r="D37" s="11" t="s">
        <v>71</v>
      </c>
      <c r="E37" s="394">
        <v>0.5</v>
      </c>
      <c r="F37" s="104"/>
    </row>
    <row r="38" spans="2:6" ht="15">
      <c r="B38" s="4" t="s">
        <v>19</v>
      </c>
      <c r="C38" s="6"/>
      <c r="D38" s="6"/>
      <c r="E38" s="395"/>
      <c r="F38" s="104"/>
    </row>
    <row r="39" spans="2:6" ht="15">
      <c r="B39" s="4" t="s">
        <v>20</v>
      </c>
      <c r="C39" s="4" t="s">
        <v>53</v>
      </c>
      <c r="D39" s="4" t="s">
        <v>61</v>
      </c>
      <c r="E39" s="395">
        <f>IF(E8&lt;=280,0.85,1.05-E8/1400)</f>
        <v>0.85</v>
      </c>
      <c r="F39" s="104"/>
    </row>
    <row r="40" spans="2:6" ht="15">
      <c r="B40" s="396" t="s">
        <v>21</v>
      </c>
      <c r="C40" s="396" t="s">
        <v>54</v>
      </c>
      <c r="D40" s="396" t="s">
        <v>61</v>
      </c>
      <c r="E40" s="397">
        <f>IF(OR(OR(E42&gt;=0.1*E8*E10*E11,E9&gt;4200),(E46-E13)/E11&lt;0.7),0.7,-0.2*E42/(0.1*E8*E10*E11)+0.9)</f>
        <v>0.7</v>
      </c>
      <c r="F40" s="2"/>
    </row>
    <row r="41" spans="2:5" ht="18">
      <c r="B41" s="14" t="s">
        <v>22</v>
      </c>
      <c r="C41" s="105"/>
      <c r="D41" s="105"/>
      <c r="E41" s="105"/>
    </row>
    <row r="42" spans="2:6" ht="15">
      <c r="B42" s="11" t="s">
        <v>7</v>
      </c>
      <c r="C42" s="11" t="s">
        <v>55</v>
      </c>
      <c r="D42" s="11" t="s">
        <v>65</v>
      </c>
      <c r="E42" s="15">
        <f>E14*1000</f>
        <v>120000</v>
      </c>
      <c r="F42" s="4"/>
    </row>
    <row r="43" spans="2:9" ht="18">
      <c r="B43" s="84" t="s">
        <v>162</v>
      </c>
      <c r="C43" s="84" t="s">
        <v>56</v>
      </c>
      <c r="D43" s="84" t="s">
        <v>66</v>
      </c>
      <c r="E43" s="85">
        <f>IF((H7=1),G19*E15,E15)</f>
        <v>22.0032617484524</v>
      </c>
      <c r="F43" s="4"/>
      <c r="G43" s="86"/>
      <c r="H43" s="48"/>
      <c r="I43" s="48"/>
    </row>
    <row r="44" spans="2:9" ht="18">
      <c r="B44" s="84" t="s">
        <v>163</v>
      </c>
      <c r="C44" s="84" t="s">
        <v>57</v>
      </c>
      <c r="D44" s="84" t="s">
        <v>66</v>
      </c>
      <c r="E44" s="85">
        <f>IF((H7=1),H19*E16,E16)</f>
        <v>49.29845795412532</v>
      </c>
      <c r="F44" s="4"/>
      <c r="G44" s="86"/>
      <c r="H44" s="48"/>
      <c r="I44" s="48"/>
    </row>
    <row r="45" spans="2:9" ht="15">
      <c r="B45" s="4" t="s">
        <v>23</v>
      </c>
      <c r="C45" s="4" t="s">
        <v>58</v>
      </c>
      <c r="D45" s="4" t="s">
        <v>64</v>
      </c>
      <c r="E45" s="6">
        <f>E10-E12</f>
        <v>66.5</v>
      </c>
      <c r="F45" s="4"/>
      <c r="G45" s="48"/>
      <c r="H45" s="48"/>
      <c r="I45" s="48"/>
    </row>
    <row r="46" spans="2:6" ht="15">
      <c r="B46" s="4" t="s">
        <v>24</v>
      </c>
      <c r="C46" s="4" t="s">
        <v>59</v>
      </c>
      <c r="D46" s="4" t="s">
        <v>64</v>
      </c>
      <c r="E46" s="6">
        <f>E11-E13</f>
        <v>46.5</v>
      </c>
      <c r="F46" s="4"/>
    </row>
    <row r="47" spans="2:5" ht="15.75">
      <c r="B47" s="106"/>
      <c r="C47" s="106"/>
      <c r="D47" s="106"/>
      <c r="E47" s="106"/>
    </row>
    <row r="48" spans="2:5" ht="15.75">
      <c r="B48" s="107"/>
      <c r="C48" s="107"/>
      <c r="D48" s="107"/>
      <c r="E48" s="16"/>
    </row>
    <row r="49" spans="2:5" ht="24" thickBot="1">
      <c r="B49" s="17" t="s">
        <v>25</v>
      </c>
      <c r="C49" s="18" t="s">
        <v>159</v>
      </c>
      <c r="E49" s="108"/>
    </row>
    <row r="50" spans="2:10" ht="19.5" thickBot="1" thickTop="1">
      <c r="B50" s="19" t="s">
        <v>26</v>
      </c>
      <c r="C50" s="20" t="s">
        <v>60</v>
      </c>
      <c r="D50" s="20" t="s">
        <v>72</v>
      </c>
      <c r="E50" s="20" t="s">
        <v>76</v>
      </c>
      <c r="F50" s="20" t="s">
        <v>91</v>
      </c>
      <c r="G50" s="20" t="s">
        <v>97</v>
      </c>
      <c r="H50" s="20" t="s">
        <v>99</v>
      </c>
      <c r="I50" s="20" t="s">
        <v>104</v>
      </c>
      <c r="J50" s="35"/>
    </row>
    <row r="51" spans="2:10" ht="16.5" thickTop="1">
      <c r="B51" s="1" t="s">
        <v>27</v>
      </c>
      <c r="C51" s="38">
        <f>E19*(6000+E9)^2+1020000*E39*E8*E10*(E46-E13)/E20</f>
        <v>17066086779.661016</v>
      </c>
      <c r="D51" s="38">
        <f>E19*12000*(-6000*E13-E9*E46)+6000*(E46-E13)*E18*(6000-E9)-1200000*E42/E40*(E46-E13)/E20</f>
        <v>-293207360774.8184</v>
      </c>
      <c r="E51" s="21">
        <f>36000000*E13*(100*E13-E46*E18)</f>
        <v>-178542000000</v>
      </c>
      <c r="F51" s="22">
        <f>IF(D51^2-4*C51*E51&gt;0,(-D51+SQRT(D51^2-4*C51*E51))/2/C51,1)</f>
        <v>17.76945449562297</v>
      </c>
      <c r="G51" s="23">
        <f>F51*$E$9/6000</f>
        <v>12.43861814693608</v>
      </c>
      <c r="H51" s="24">
        <f>IF(AND(G51&gt;=(F51-E13),G51&lt;(E46-F51)),E40/100000*(C56*(F51-E13)^2/F51*(E11/2-(2*E13+F51)/3)+30*(F51-E13)/F51*E56*(E11/2-E13)+C57*F51*(E11-E39*F51)/2+C56*G51^2/F51*(F51+2/3*G51-E11/2)+D56*(E46-F51-G51)/100*(F51+G51-E13)/2+E56*E9/200*(E46-E11/2)),"")</f>
      </c>
      <c r="I51" s="24">
        <f>IF(AND(G51&gt;=(F51-E13),G51&lt;(E46-F51)),E40/1000*(C56*(F51-E13)^2/F51+30*(F51-E13)/F51*E56+C57*F51-C56*G51^2/F51-D56*(E46-F51-G51)/100-E56*E9/200),"")</f>
      </c>
      <c r="J51" s="35"/>
    </row>
    <row r="52" spans="2:10" ht="15.75">
      <c r="B52" s="5" t="s">
        <v>28</v>
      </c>
      <c r="C52" s="43">
        <f>-E19*(E9-6000)^2+1020000*E39*E8*E10*(E46-E13)/E20</f>
        <v>10414726779.661016</v>
      </c>
      <c r="D52" s="43">
        <f>12000*(-E9*E13+6000*E46)*E19+6000*(E46-E13)*(E9+6000)*E18-1200000*(E46-E13)/E20*E42/E40</f>
        <v>146712639225.18158</v>
      </c>
      <c r="E52" s="25">
        <f>36000000*E46*(-100*E46+E13*E18)</f>
        <v>-7561458000000</v>
      </c>
      <c r="F52" s="26">
        <f>IF(D52^2-4*C52*E52&gt;0,(-D52+SQRT(D52^2-4*C52*E52))/2/C52,1)</f>
        <v>20.80690940156447</v>
      </c>
      <c r="G52" s="27">
        <f>F52*$E$9/6000</f>
        <v>14.564836581095129</v>
      </c>
      <c r="H52" s="6">
        <f>IF(AND(G52&lt;F52-E13,G52&gt;=E46-F52),E40/100000*(C56*G52^2/F52*(E11/2-F52+2/3*G52)+(D56*(F52-E13-G52)/100*(E46-F52+G52)/2)+(E9*E56/200*(E46-E13)/2)+C57*F52*(E11-E39*F52)/2+(C56*(E46-F52)^2)/F52*(E46+2*F52-3*E13)/6+(E46-F52)*30*E56/F52*(E46-E11/2)),"")</f>
      </c>
      <c r="I52" s="6">
        <f>IF(AND(G52&lt;F52-E13,G52&gt;=E46-F52),E40/1000*(C56*G52^2/F52+(D56*(F52-E13-G52)/100)+(E9*E56/200)+C57*F52-(C56*(E46-F52)^2)/F52-(E46-F52)*30*E56/F52),"")</f>
      </c>
      <c r="J52" s="35"/>
    </row>
    <row r="53" spans="2:10" ht="15.75">
      <c r="B53" s="5" t="s">
        <v>29</v>
      </c>
      <c r="C53" s="43"/>
      <c r="D53" s="43"/>
      <c r="E53" s="25"/>
      <c r="F53" s="26">
        <f>(E9*E11*E19+100*(E46-E13)/E20*E42/E40)/(2*E9*E19+85*(E46-E13)/E20*E39*E8*E10)</f>
        <v>18.15378635879211</v>
      </c>
      <c r="G53" s="27">
        <f>F53*$E$9/6000</f>
        <v>12.707650451154477</v>
      </c>
      <c r="H53" s="6">
        <f>IF(AND(G53&lt;F53-E13,G53&lt;E46-F53),E40/100000*(C56*G53^2/F53*(E11/2-F53+2/3*G53)+D56*(F53-E13-G53)/200*(E46-F53+G53)+E9*E56/400*(E46-E13)+(E11-E39*F53)/2*C57*F53+C56*G53^2/F53*(F53+2/3*G53-E11/2)+D56*(E46-F53-G53)/200*(F53+G53-E13)+E56*E9/200*(E46-E11/2)),"")</f>
        <v>49.875037205681124</v>
      </c>
      <c r="I53" s="6">
        <f>IF(AND(G53&lt;F53-E13,G53&lt;E46-F53),E40/1000*(C56*G53^2/F53+D56*(F53-E13-G53)/100+E9*E56/200+C57*F53-C56*G53^2/F53-D56*(E46-F53-G53)/100-E56*E9/200),"")</f>
        <v>119.99999999999996</v>
      </c>
      <c r="J53" s="35"/>
    </row>
    <row r="54" spans="2:10" ht="15.75">
      <c r="B54" s="5" t="s">
        <v>30</v>
      </c>
      <c r="C54" s="43">
        <f>0.85*E39*E8*E10</f>
        <v>12137.999999999998</v>
      </c>
      <c r="D54" s="43">
        <f>6000*E20-E42/E40</f>
        <v>182571.42857142855</v>
      </c>
      <c r="E54" s="25">
        <f>-3000*E20*E11</f>
        <v>-8850000</v>
      </c>
      <c r="F54" s="26">
        <f>IF(D54^2-4*C54*E54&gt;0,(-D54+SQRT(D54^2-4*C54*E54))/2/C54,1)</f>
        <v>20.509247139429927</v>
      </c>
      <c r="G54" s="27">
        <f>F54*$E$9/6000</f>
        <v>14.35647299760095</v>
      </c>
      <c r="H54" s="6">
        <f>IF(AND(G54&gt;=F54-E13,G54&gt;=E46-F54),E40/100000*((C56*(F54-E13)^2/F54)*(E11/2-(2*E13+F54)/3)+(30*(F54-E13)/F54*E56)*(E11/2-E13)+C57*F54*(E11-E39*F54)/2+C56*(E46-F54)^2/F54*(E46+2*F54-3*E13)/6+(E46-F54)*30*E56/F54*(E46-E11/2)),"")</f>
      </c>
      <c r="I54" s="6">
        <f>IF(AND(G54&gt;=F54-E13,G54&gt;=E46-F54),E40/1000*((C56*(F54-E13)^2/F54)+(30*(F54-E13)/F54*E56)+C57*F54-C56*(E46-F54)^2/F54-(E46-F54)*30*E56/F54),"")</f>
      </c>
      <c r="J54" s="35"/>
    </row>
    <row r="55" spans="2:10" ht="15.75">
      <c r="B55" s="35"/>
      <c r="C55" s="109"/>
      <c r="D55" s="109"/>
      <c r="E55" s="6"/>
      <c r="F55" s="27"/>
      <c r="G55" s="27"/>
      <c r="H55" s="6"/>
      <c r="I55" s="6"/>
      <c r="J55" s="35"/>
    </row>
    <row r="56" spans="2:10" ht="15.75">
      <c r="B56" s="5" t="s">
        <v>31</v>
      </c>
      <c r="C56" s="43">
        <f>30*E20*E19/(E46-E13)</f>
        <v>2552.093023255814</v>
      </c>
      <c r="D56" s="43">
        <f>E20*E9*E19/(E46-E13)</f>
        <v>357293.0232558139</v>
      </c>
      <c r="E56" s="25">
        <f>E20*E18</f>
        <v>2242</v>
      </c>
      <c r="F56" s="27"/>
      <c r="G56" s="27"/>
      <c r="H56" s="6"/>
      <c r="I56" s="6"/>
      <c r="J56" s="35"/>
    </row>
    <row r="57" spans="2:10" ht="16.5" thickBot="1">
      <c r="B57" s="5" t="s">
        <v>32</v>
      </c>
      <c r="C57" s="43">
        <f>0.85*E39*E8*E10</f>
        <v>12137.999999999998</v>
      </c>
      <c r="D57" s="109"/>
      <c r="E57" s="6"/>
      <c r="F57" s="27"/>
      <c r="G57" s="27"/>
      <c r="H57" s="6"/>
      <c r="I57" s="6"/>
      <c r="J57" s="35"/>
    </row>
    <row r="58" spans="2:10" ht="19.5" thickBot="1" thickTop="1">
      <c r="B58" s="35"/>
      <c r="C58" s="109"/>
      <c r="D58" s="109"/>
      <c r="E58" s="28" t="s">
        <v>77</v>
      </c>
      <c r="F58" s="29" t="s">
        <v>172</v>
      </c>
      <c r="G58" s="110"/>
      <c r="H58" s="30">
        <f>SUM(H51:H57)</f>
        <v>49.875037205681124</v>
      </c>
      <c r="I58" s="30">
        <f>SUM(I51:I57)</f>
        <v>119.99999999999996</v>
      </c>
      <c r="J58" s="31"/>
    </row>
    <row r="59" spans="2:9" ht="15.75" thickTop="1">
      <c r="B59" s="98"/>
      <c r="C59" s="98"/>
      <c r="D59" s="98"/>
      <c r="E59" s="99"/>
      <c r="F59" s="99"/>
      <c r="G59" s="99"/>
      <c r="H59" s="99"/>
      <c r="I59" s="99"/>
    </row>
    <row r="60" spans="2:3" ht="24" thickBot="1">
      <c r="B60" s="17" t="s">
        <v>25</v>
      </c>
      <c r="C60" s="18" t="s">
        <v>160</v>
      </c>
    </row>
    <row r="61" spans="2:10" ht="19.5" thickBot="1" thickTop="1">
      <c r="B61" s="19" t="s">
        <v>33</v>
      </c>
      <c r="C61" s="32" t="s">
        <v>60</v>
      </c>
      <c r="D61" s="20" t="s">
        <v>72</v>
      </c>
      <c r="E61" s="20" t="s">
        <v>76</v>
      </c>
      <c r="F61" s="20" t="s">
        <v>91</v>
      </c>
      <c r="G61" s="20" t="s">
        <v>97</v>
      </c>
      <c r="H61" s="20" t="s">
        <v>99</v>
      </c>
      <c r="I61" s="20" t="s">
        <v>104</v>
      </c>
      <c r="J61" s="35"/>
    </row>
    <row r="62" spans="2:10" ht="16.5" thickTop="1">
      <c r="B62" s="1" t="s">
        <v>34</v>
      </c>
      <c r="C62" s="38">
        <f>E18*(6000+E9)^2+1020000*E39*E8*E11*(E45-E12)/E20</f>
        <v>15062875932.20339</v>
      </c>
      <c r="D62" s="38">
        <f>E18*12000*(-6000*E12-E9*E45)+6000*(E45-E12)*E19*(6000-E9)-1200000*E42/E40*(E45-E12)/E20</f>
        <v>-314413016949.1526</v>
      </c>
      <c r="E62" s="21">
        <f>36000000*E12*(E18*E12-(E45-E12)*E19)</f>
        <v>-475398000000</v>
      </c>
      <c r="F62" s="22">
        <f>IF(D62^2-4*C62*E62&gt;0,(-D62+SQRT(D62^2-4*C62*E62))/2/C62,1)</f>
        <v>22.289336596417947</v>
      </c>
      <c r="G62" s="23">
        <f>F62*$E$9/6000</f>
        <v>15.602535617492562</v>
      </c>
      <c r="H62" s="24">
        <f>IF(AND(G62&gt;=(F62-E12),G62&lt;(E45-F62)),E40/100000*(C67*(F62-E12)^2/F62*(E10/2-(2*E12+F62)/3)+30*(F62-E12)/F62*E67*(E10/2-E12)+C68*F62*(E10-E39*F62)/2+C67*G62^2/F62*(F62+2/3*G62-E10/2)+D67*(E45-F62-G62)/100*(F62+G62-E12)/2+E67*E9/200*(E45-E10/2)),"")</f>
      </c>
      <c r="I62" s="24">
        <f>IF(AND(G62&gt;=(F62-E12),G62&lt;(E45-F62)),E40/1000*(C67*(F62-E12)^2/F62+30*(F62-E12)/F62*E67+C68*F62-C67*G62^2/F62-D67*(E45-F62-G62)/100-E67*E9/200),"")</f>
      </c>
      <c r="J62" s="35"/>
    </row>
    <row r="63" spans="2:10" ht="15.75">
      <c r="B63" s="5" t="s">
        <v>35</v>
      </c>
      <c r="C63" s="43">
        <f>-E18*(E9-6000)^2+1020000*E39*E8*E11*(E45-E12)/E20</f>
        <v>10986235932.20339</v>
      </c>
      <c r="D63" s="43">
        <f>12000*(-E9*E12+6000*E45)*E18+6000*(E45-E12)*(E9+6000)*E19-1200000*(E45-E12)/E20*E42/E40</f>
        <v>194626983050.8474</v>
      </c>
      <c r="E63" s="25">
        <f>36000000*(-100*E45^2+E45*E12*E19)</f>
        <v>-15400602000000</v>
      </c>
      <c r="F63" s="26">
        <f>IF(D63^2-4*C63*E63&gt;0,(-D63+SQRT(D63^2-4*C63*E63))/2/C63,1)</f>
        <v>29.616496611980235</v>
      </c>
      <c r="G63" s="27">
        <f>F63*$E$9/6000</f>
        <v>20.731547628386163</v>
      </c>
      <c r="H63" s="6">
        <f>IF(AND(G63&lt;F63-E12,G63&gt;=E45-F63),E40/100000*(C67*G63^2/F63*(E10/2-F63+2/3*G63)+(D67*(F63-E12-G63)/100*(E45-F63+G63)/2)+(E9*E67/200*(E45-E12)/2)+C68*F63*(E10-E39*F63)/2+(C67*(E45-F63)^2)/F63*(E45+2*F63-3*E12)/6+(E45-F63)*30*E67/F63*(E45-E10/2)),"")</f>
      </c>
      <c r="I63" s="6">
        <f>IF(AND(G63&lt;F63-E12,G63&gt;=E45-F63),E40/1000*(C67*G63^2/F63+(D67*(F63-E12-G63)/100)+(E9*E67/200)+C68*F63-(C67*(E45-F63)^2)/F63-(E45-F63)*30*E67/F63),"")</f>
      </c>
      <c r="J63" s="35"/>
    </row>
    <row r="64" spans="2:10" ht="15.75">
      <c r="B64" s="5" t="s">
        <v>29</v>
      </c>
      <c r="C64" s="43"/>
      <c r="D64" s="43"/>
      <c r="E64" s="25"/>
      <c r="F64" s="26">
        <f>(E9*E10*E18+100*(E45-E12)/E20*E42/E40)/(2*E9*E18+85*(E45-E12)/E20*E39*E8*E11)</f>
        <v>23.676760085931566</v>
      </c>
      <c r="G64" s="27">
        <f>F64*$E$9/6000</f>
        <v>16.573732060152096</v>
      </c>
      <c r="H64" s="6">
        <f>IF(AND(G64&lt;F64-E12,G64&lt;E45-F64),E40/100000*(C67*G64^2/F64*(E10/2-F64+2/3*G64)+D67*(F64-E12-G64)/200*(E45-F64+G64)+E9*E67/400*(E45-E12)+(E10-E39*F64)/2*C68*F64+C67*G64^2/F64*(F64+2/3*G64-E10/2)+D67*(E45-F64-G64)/200*(F64+G64-E12)+E67*E9/200*(E45-E10/2)),"")</f>
        <v>77.79242701910644</v>
      </c>
      <c r="I64" s="6">
        <f>IF(AND(G64&lt;F64-E12,G64&lt;E45-F64),E40/1000*(C67*G64^2/F64+D67*(F64-E12-G64)/100+E9*E67/200+C68*F64-C67*G64^2/F64-D67*(E45-F64-G64)/100-E67*E9/200),"")</f>
        <v>119.99999999999996</v>
      </c>
      <c r="J64" s="35"/>
    </row>
    <row r="65" spans="2:10" ht="15.75">
      <c r="B65" s="5" t="s">
        <v>36</v>
      </c>
      <c r="C65" s="43">
        <f>0.85*E39*E8*E11</f>
        <v>8669.999999999998</v>
      </c>
      <c r="D65" s="43">
        <f>6000*E20-E42/E40</f>
        <v>182571.42857142855</v>
      </c>
      <c r="E65" s="25">
        <f>-3000*E20*E10</f>
        <v>-12390000</v>
      </c>
      <c r="F65" s="26">
        <f>IF(D65^2-4*C65*E65&gt;0,(-D65+SQRT(D65^2-4*C65*E65))/2/C65,1)</f>
        <v>28.712945995201903</v>
      </c>
      <c r="G65" s="27">
        <f>F65*$E$9/6000</f>
        <v>20.09906219664133</v>
      </c>
      <c r="H65" s="6">
        <f>IF(AND(G65&gt;=F65-E12,G65&gt;=E45-F65),E40/100000*((C67*(F65-E12)^2/F65)*(E10/2-(2*E12+F65)/3)+(30*(F65-E12)/F65*E67)*(E10/2-E12)+C68*F65*(E10-E39*F65)/2+C67*(E45-F65)^2/F65*(E45+2*F65-3*E12)/6+(E45-F65)*30*E67/F65*(E45-E10/2)),"")</f>
      </c>
      <c r="I65" s="6">
        <f>IF(AND(G65&gt;=F65-E12,G65&gt;=E45-F65),E40/1000*((C67*(F65-E12)^2/F65)+(30*(F65-E12)/F65*E67)+C68*F65-C67*(E45-F65)^2/F65-(E45-F65)*30*E67/F65),"")</f>
      </c>
      <c r="J65" s="35"/>
    </row>
    <row r="66" spans="2:10" ht="15.75">
      <c r="B66" s="35"/>
      <c r="C66" s="109"/>
      <c r="D66" s="109"/>
      <c r="E66" s="6"/>
      <c r="F66" s="27"/>
      <c r="G66" s="27"/>
      <c r="H66" s="6"/>
      <c r="I66" s="6"/>
      <c r="J66" s="35"/>
    </row>
    <row r="67" spans="2:10" ht="15">
      <c r="B67" s="5" t="s">
        <v>37</v>
      </c>
      <c r="C67" s="43">
        <f>30*E20*E18/(E45-E12)</f>
        <v>1067.6190476190477</v>
      </c>
      <c r="D67" s="43">
        <f>E20*E9*E18/(E45-E12)</f>
        <v>149466.66666666666</v>
      </c>
      <c r="E67" s="25">
        <f>E20*E19</f>
        <v>3658</v>
      </c>
      <c r="F67" s="6"/>
      <c r="G67" s="6"/>
      <c r="H67" s="6"/>
      <c r="I67" s="6"/>
      <c r="J67" s="35"/>
    </row>
    <row r="68" spans="2:10" ht="15.75" thickBot="1">
      <c r="B68" s="5" t="s">
        <v>32</v>
      </c>
      <c r="C68" s="43">
        <f>0.85*E39*E8*E11</f>
        <v>8669.999999999998</v>
      </c>
      <c r="D68" s="43"/>
      <c r="E68" s="25"/>
      <c r="F68" s="6"/>
      <c r="G68" s="6"/>
      <c r="H68" s="6"/>
      <c r="I68" s="6"/>
      <c r="J68" s="35"/>
    </row>
    <row r="69" spans="2:10" ht="19.5" thickBot="1" thickTop="1">
      <c r="B69" s="35"/>
      <c r="C69" s="6"/>
      <c r="D69" s="6"/>
      <c r="E69" s="28" t="s">
        <v>77</v>
      </c>
      <c r="F69" s="29" t="s">
        <v>173</v>
      </c>
      <c r="G69" s="110"/>
      <c r="H69" s="30">
        <f>SUM(H62:H68)</f>
        <v>77.79242701910644</v>
      </c>
      <c r="I69" s="30">
        <f>SUM(I62:I68)</f>
        <v>119.99999999999996</v>
      </c>
      <c r="J69" s="100"/>
    </row>
    <row r="70" spans="2:9" ht="15.75" thickTop="1">
      <c r="B70" s="98"/>
      <c r="C70" s="98"/>
      <c r="D70" s="98"/>
      <c r="E70" s="99"/>
      <c r="F70" s="99"/>
      <c r="G70" s="99"/>
      <c r="H70" s="99"/>
      <c r="I70" s="99"/>
    </row>
    <row r="71" ht="23.25">
      <c r="D71" s="18" t="s">
        <v>73</v>
      </c>
    </row>
    <row r="72" ht="18.75" thickBot="1">
      <c r="B72" s="33" t="s">
        <v>38</v>
      </c>
    </row>
    <row r="73" spans="2:11" ht="15.75" thickTop="1">
      <c r="B73" s="1" t="s">
        <v>39</v>
      </c>
      <c r="C73" s="3" t="s">
        <v>61</v>
      </c>
      <c r="D73" s="38">
        <f>E8*E10*E11</f>
        <v>840000</v>
      </c>
      <c r="E73" s="98"/>
      <c r="F73" s="1" t="s">
        <v>92</v>
      </c>
      <c r="G73" s="98"/>
      <c r="H73" s="98"/>
      <c r="I73" s="24">
        <f>IF(E43/H69&gt;=E44/H58,E43/(1-E44/H58*(1-D76)/D76),E44/(1-E43/H69*(1-D76)/D76))</f>
        <v>62.826282991724604</v>
      </c>
      <c r="J73" s="98"/>
      <c r="K73" s="35"/>
    </row>
    <row r="74" spans="2:11" ht="15.75">
      <c r="B74" s="34" t="s">
        <v>40</v>
      </c>
      <c r="C74" s="4" t="s">
        <v>61</v>
      </c>
      <c r="D74" s="47">
        <f>E20*E9</f>
        <v>247800</v>
      </c>
      <c r="F74" s="5" t="s">
        <v>93</v>
      </c>
      <c r="G74" s="111"/>
      <c r="I74" s="27"/>
      <c r="K74" s="35"/>
    </row>
    <row r="75" spans="2:11" ht="15.75">
      <c r="B75" s="34" t="s">
        <v>41</v>
      </c>
      <c r="C75" s="4" t="s">
        <v>61</v>
      </c>
      <c r="D75" s="27">
        <f>IF(D74/D73&lt;0.5,0.545+0.35*(0.5-D74/D73)^2,0.485+0.03*D73/D74)</f>
        <v>0.5597087500000001</v>
      </c>
      <c r="F75" s="35"/>
      <c r="I75" s="6"/>
      <c r="K75" s="35"/>
    </row>
    <row r="76" spans="2:11" ht="15.75">
      <c r="B76" s="5" t="s">
        <v>42</v>
      </c>
      <c r="C76" s="4" t="s">
        <v>61</v>
      </c>
      <c r="D76" s="6">
        <f>IF(E42&gt;=0.25*D73,D75+0.2*(E42/D73-0.25)/(0.85+D74/D73),D75+(0.25-E42/D73)^2*(0.85-D74/2/D73))</f>
        <v>0.5677731632653062</v>
      </c>
      <c r="F76" s="35" t="str">
        <f>IF(E43/H69&gt;=E44/H58,IF(1-H69/I73&gt;0,"AUMENTAR LA SECCION DE ACERO A","DISMINUIR LA SECCION DE ACERO A"),IF(1-H58/I73&gt;0,"AUMENTAR LA SECCION DE ACERO A","DISMINUIR LA SECCION DE ACERO A"))</f>
        <v>AUMENTAR LA SECCION DE ACERO A</v>
      </c>
      <c r="G76" s="111"/>
      <c r="I76" s="6">
        <f>IF(E43/H69&gt;=E44/H58,IF(ABS(1-H69/I73)&gt;0.04,E20*(2-H69/I73),"As es OK!!"),IF(ABS(1-H58/I73)&gt;0.04,E20*(2-H58/I73),"As es OK!!"))</f>
        <v>71.1624814486831</v>
      </c>
      <c r="K76" s="35"/>
    </row>
    <row r="77" spans="2:11" ht="15">
      <c r="B77" s="35"/>
      <c r="C77" s="6"/>
      <c r="D77" s="6"/>
      <c r="F77" s="35" t="str">
        <f>IF(E43/H69&gt;=E44/H58,"GOBIERNA EL DISENO Myy","GOBIERNA EL DISENO Mxx")</f>
        <v>GOBIERNA EL DISENO Mxx</v>
      </c>
      <c r="I77" s="6"/>
      <c r="K77" s="35"/>
    </row>
    <row r="78" spans="2:11" ht="15.75" thickBot="1">
      <c r="B78" s="35"/>
      <c r="C78" s="6"/>
      <c r="D78" s="6"/>
      <c r="F78" s="5" t="s">
        <v>94</v>
      </c>
      <c r="I78" s="6">
        <f>IF(E43/H69&gt;=E44/H58,(1-H69/I73)*100,(1-H58/I73)*100)</f>
        <v>20.614375336751024</v>
      </c>
      <c r="J78" s="2" t="s">
        <v>67</v>
      </c>
      <c r="K78" s="35"/>
    </row>
    <row r="79" spans="2:10" ht="16.5" thickTop="1">
      <c r="B79" s="112"/>
      <c r="C79" s="98"/>
      <c r="D79" s="98"/>
      <c r="E79" s="98"/>
      <c r="F79" s="98"/>
      <c r="G79" s="98"/>
      <c r="H79" s="98"/>
      <c r="I79" s="98"/>
      <c r="J79" s="98"/>
    </row>
    <row r="81" ht="15">
      <c r="B81" s="36"/>
    </row>
    <row r="82" ht="15">
      <c r="B82" s="2"/>
    </row>
    <row r="83" spans="2:13" ht="15">
      <c r="B83" s="2" t="s">
        <v>175</v>
      </c>
      <c r="L83" s="2" t="s">
        <v>105</v>
      </c>
      <c r="M83" s="2" t="s">
        <v>126</v>
      </c>
    </row>
    <row r="84" spans="2:13" ht="15">
      <c r="B84" s="2" t="s">
        <v>43</v>
      </c>
      <c r="L84" s="37" t="s">
        <v>106</v>
      </c>
      <c r="M84" s="37" t="s">
        <v>127</v>
      </c>
    </row>
    <row r="85" spans="2:13" ht="15">
      <c r="B85" s="2" t="s">
        <v>185</v>
      </c>
      <c r="L85" s="37" t="s">
        <v>107</v>
      </c>
      <c r="M85" s="37" t="s">
        <v>128</v>
      </c>
    </row>
    <row r="86" spans="2:13" ht="15">
      <c r="B86" s="2" t="s">
        <v>174</v>
      </c>
      <c r="L86" s="37" t="s">
        <v>108</v>
      </c>
      <c r="M86" s="37" t="s">
        <v>129</v>
      </c>
    </row>
    <row r="87" spans="2:13" ht="15">
      <c r="B87" s="2" t="s">
        <v>186</v>
      </c>
      <c r="L87" s="37" t="s">
        <v>109</v>
      </c>
      <c r="M87" s="37" t="s">
        <v>130</v>
      </c>
    </row>
    <row r="88" spans="2:13" ht="15">
      <c r="B88" s="2" t="s">
        <v>176</v>
      </c>
      <c r="L88" s="37" t="s">
        <v>110</v>
      </c>
      <c r="M88" s="37" t="s">
        <v>131</v>
      </c>
    </row>
    <row r="89" spans="2:13" ht="15">
      <c r="B89" s="2" t="s">
        <v>177</v>
      </c>
      <c r="L89" s="37" t="s">
        <v>111</v>
      </c>
      <c r="M89" s="37" t="s">
        <v>132</v>
      </c>
    </row>
    <row r="90" spans="2:13" ht="15">
      <c r="B90" s="2" t="s">
        <v>178</v>
      </c>
      <c r="L90" s="37" t="s">
        <v>112</v>
      </c>
      <c r="M90" s="37" t="s">
        <v>133</v>
      </c>
    </row>
    <row r="91" spans="2:13" ht="15">
      <c r="B91" s="2" t="s">
        <v>179</v>
      </c>
      <c r="L91" s="37" t="s">
        <v>113</v>
      </c>
      <c r="M91" s="37" t="s">
        <v>134</v>
      </c>
    </row>
    <row r="92" spans="2:13" ht="15">
      <c r="B92" s="2" t="s">
        <v>180</v>
      </c>
      <c r="L92" s="37" t="s">
        <v>114</v>
      </c>
      <c r="M92" s="37" t="s">
        <v>135</v>
      </c>
    </row>
    <row r="93" spans="2:13" ht="15">
      <c r="B93" s="2" t="s">
        <v>181</v>
      </c>
      <c r="L93" s="37" t="s">
        <v>115</v>
      </c>
      <c r="M93" s="37" t="s">
        <v>136</v>
      </c>
    </row>
    <row r="94" spans="2:13" ht="15">
      <c r="B94" s="2" t="s">
        <v>182</v>
      </c>
      <c r="L94" s="37" t="s">
        <v>116</v>
      </c>
      <c r="M94" s="37" t="s">
        <v>137</v>
      </c>
    </row>
    <row r="95" spans="2:13" ht="15">
      <c r="B95" s="2" t="s">
        <v>183</v>
      </c>
      <c r="L95" s="37" t="s">
        <v>117</v>
      </c>
      <c r="M95" s="37" t="s">
        <v>138</v>
      </c>
    </row>
    <row r="96" spans="2:13" ht="15">
      <c r="B96" s="2" t="s">
        <v>184</v>
      </c>
      <c r="L96" s="37" t="s">
        <v>118</v>
      </c>
      <c r="M96" s="37" t="s">
        <v>139</v>
      </c>
    </row>
    <row r="97" spans="12:13" ht="15">
      <c r="L97" s="2" t="s">
        <v>119</v>
      </c>
      <c r="M97" s="2" t="s">
        <v>140</v>
      </c>
    </row>
    <row r="98" spans="12:13" ht="15">
      <c r="L98" s="2" t="s">
        <v>120</v>
      </c>
      <c r="M98" s="2" t="s">
        <v>141</v>
      </c>
    </row>
    <row r="99" spans="12:13" ht="15">
      <c r="L99" s="2" t="s">
        <v>121</v>
      </c>
      <c r="M99" s="2" t="s">
        <v>142</v>
      </c>
    </row>
    <row r="100" spans="12:13" ht="15">
      <c r="L100" s="2" t="s">
        <v>122</v>
      </c>
      <c r="M100" s="2" t="s">
        <v>143</v>
      </c>
    </row>
    <row r="101" spans="12:13" ht="15">
      <c r="L101" s="2" t="s">
        <v>123</v>
      </c>
      <c r="M101" s="2" t="s">
        <v>144</v>
      </c>
    </row>
    <row r="102" spans="12:13" ht="15">
      <c r="L102" s="2" t="s">
        <v>124</v>
      </c>
      <c r="M102" s="2" t="s">
        <v>145</v>
      </c>
    </row>
    <row r="103" spans="12:13" ht="15">
      <c r="L103" s="2" t="s">
        <v>125</v>
      </c>
      <c r="M103" s="2" t="s">
        <v>146</v>
      </c>
    </row>
    <row r="105" ht="15.75">
      <c r="C105" s="90"/>
    </row>
    <row r="106" ht="15.75">
      <c r="C106" s="91"/>
    </row>
    <row r="107" ht="15.75">
      <c r="C107" s="90"/>
    </row>
    <row r="123" spans="2:11" ht="1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2:11" ht="15">
      <c r="B124" s="87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2:11" ht="15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2:11" ht="15">
      <c r="B126" s="113"/>
      <c r="C126" s="88"/>
      <c r="D126" s="113"/>
      <c r="E126" s="88"/>
      <c r="F126" s="87"/>
      <c r="G126" s="113"/>
      <c r="H126" s="113"/>
      <c r="I126" s="113"/>
      <c r="J126" s="113"/>
      <c r="K126" s="113"/>
    </row>
    <row r="127" spans="2:11" ht="15">
      <c r="B127" s="113"/>
      <c r="C127" s="89"/>
      <c r="D127" s="104"/>
      <c r="E127" s="113"/>
      <c r="F127" s="89"/>
      <c r="G127" s="113"/>
      <c r="H127" s="113"/>
      <c r="I127" s="113"/>
      <c r="J127" s="113"/>
      <c r="K127" s="113"/>
    </row>
    <row r="128" spans="2:11" ht="15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2:11" ht="15">
      <c r="B129" s="113"/>
      <c r="C129" s="104"/>
      <c r="D129" s="104"/>
      <c r="E129" s="104"/>
      <c r="F129" s="113"/>
      <c r="G129" s="113"/>
      <c r="H129" s="113"/>
      <c r="I129" s="113"/>
      <c r="J129" s="113"/>
      <c r="K129" s="113"/>
    </row>
    <row r="130" spans="2:11" ht="15">
      <c r="B130" s="113"/>
      <c r="C130" s="89"/>
      <c r="D130" s="113"/>
      <c r="E130" s="104"/>
      <c r="F130" s="113"/>
      <c r="G130" s="113"/>
      <c r="H130" s="113"/>
      <c r="I130" s="113"/>
      <c r="J130" s="113"/>
      <c r="K130" s="113"/>
    </row>
    <row r="131" spans="2:11" ht="15">
      <c r="B131" s="113"/>
      <c r="C131" s="104"/>
      <c r="D131" s="113"/>
      <c r="E131" s="104"/>
      <c r="F131" s="113"/>
      <c r="G131" s="113"/>
      <c r="H131" s="113"/>
      <c r="I131" s="113"/>
      <c r="J131" s="113"/>
      <c r="K131" s="113"/>
    </row>
    <row r="132" spans="2:11" ht="15">
      <c r="B132" s="113"/>
      <c r="C132" s="104"/>
      <c r="D132" s="104"/>
      <c r="E132" s="113"/>
      <c r="F132" s="113"/>
      <c r="G132" s="113"/>
      <c r="H132" s="113"/>
      <c r="I132" s="113"/>
      <c r="J132" s="113"/>
      <c r="K132" s="113"/>
    </row>
    <row r="133" spans="2:11" ht="15">
      <c r="B133" s="113"/>
      <c r="C133" s="88"/>
      <c r="D133" s="87"/>
      <c r="E133" s="113"/>
      <c r="F133" s="87"/>
      <c r="G133" s="87"/>
      <c r="H133" s="113"/>
      <c r="I133" s="87"/>
      <c r="J133" s="87"/>
      <c r="K133" s="113"/>
    </row>
    <row r="134" spans="2:11" ht="15">
      <c r="B134" s="113"/>
      <c r="C134" s="88"/>
      <c r="D134" s="87"/>
      <c r="E134" s="113"/>
      <c r="F134" s="113"/>
      <c r="G134" s="89"/>
      <c r="H134" s="113"/>
      <c r="I134" s="113"/>
      <c r="J134" s="89"/>
      <c r="K134" s="113"/>
    </row>
    <row r="135" spans="2:11" ht="15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2:11" ht="15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2:11" ht="15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2:11" ht="15">
      <c r="B138" s="87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ht="15">
      <c r="B139" s="2"/>
    </row>
    <row r="140" ht="15">
      <c r="B140" s="2"/>
    </row>
    <row r="141" ht="15">
      <c r="B141" s="2"/>
    </row>
  </sheetData>
  <sheetProtection password="C965" sheet="1"/>
  <mergeCells count="1">
    <mergeCell ref="F8:I8"/>
  </mergeCells>
  <conditionalFormatting sqref="F9:I19">
    <cfRule type="expression" priority="1" dxfId="1" stopIfTrue="1">
      <formula>$H$7=0</formula>
    </cfRule>
  </conditionalFormatting>
  <hyperlinks>
    <hyperlink ref="B4" r:id="rId1" display="rfrosadoj@hotmail.com"/>
    <hyperlink ref="B3" r:id="rId2" display="hidrosoft@hotmail.com"/>
  </hyperlinks>
  <printOptions/>
  <pageMargins left="0.75" right="0.75" top="1" bottom="1" header="0" footer="0"/>
  <pageSetup horizontalDpi="120" verticalDpi="120" orientation="portrait" scale="51" r:id="rId7"/>
  <drawing r:id="rId6"/>
  <legacyDrawing r:id="rId5"/>
  <oleObjects>
    <oleObject progId="AutoCAD.Drawing.15" shapeId="78530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H205"/>
  <sheetViews>
    <sheetView zoomScale="75" zoomScaleNormal="75" zoomScalePageLayoutView="0" workbookViewId="0" topLeftCell="A1">
      <selection activeCell="A132" sqref="A132"/>
    </sheetView>
  </sheetViews>
  <sheetFormatPr defaultColWidth="11.19921875" defaultRowHeight="15"/>
  <cols>
    <col min="1" max="16384" width="11.59765625" style="379" customWidth="1"/>
  </cols>
  <sheetData>
    <row r="2" spans="1:6" ht="20.25">
      <c r="A2" s="377" t="s">
        <v>342</v>
      </c>
      <c r="B2" s="378"/>
      <c r="C2" s="378"/>
      <c r="D2" s="378"/>
      <c r="E2" s="378"/>
      <c r="F2" s="378"/>
    </row>
    <row r="3" spans="1:8" ht="15">
      <c r="A3" s="378"/>
      <c r="B3" s="378"/>
      <c r="C3" s="378"/>
      <c r="D3" s="378"/>
      <c r="E3" s="378"/>
      <c r="F3" s="380"/>
      <c r="G3" s="378"/>
      <c r="H3" s="378"/>
    </row>
    <row r="4" spans="1:6" ht="15">
      <c r="A4" s="390" t="s">
        <v>377</v>
      </c>
      <c r="B4" s="378"/>
      <c r="C4" s="378"/>
      <c r="D4" s="378"/>
      <c r="E4" s="378"/>
      <c r="F4" s="378"/>
    </row>
    <row r="5" spans="1:6" ht="15">
      <c r="A5" s="378"/>
      <c r="B5" s="378"/>
      <c r="C5" s="378"/>
      <c r="D5" s="378"/>
      <c r="E5" s="378"/>
      <c r="F5" s="378"/>
    </row>
    <row r="6" spans="1:6" ht="18">
      <c r="A6" s="382" t="s">
        <v>285</v>
      </c>
      <c r="B6" s="383"/>
      <c r="C6" s="378"/>
      <c r="D6" s="378"/>
      <c r="E6" s="378"/>
      <c r="F6" s="378"/>
    </row>
    <row r="7" spans="1:6" ht="15">
      <c r="A7" s="378"/>
      <c r="B7" s="378"/>
      <c r="C7" s="378"/>
      <c r="D7" s="378"/>
      <c r="E7" s="378"/>
      <c r="F7" s="378"/>
    </row>
    <row r="8" spans="1:6" ht="15">
      <c r="A8" s="381" t="s">
        <v>340</v>
      </c>
      <c r="B8" s="378"/>
      <c r="D8" s="381" t="s">
        <v>286</v>
      </c>
      <c r="E8" s="378"/>
      <c r="F8" s="381" t="s">
        <v>287</v>
      </c>
    </row>
    <row r="9" spans="1:6" ht="15">
      <c r="A9" s="378"/>
      <c r="B9" s="378"/>
      <c r="C9" s="381" t="s">
        <v>288</v>
      </c>
      <c r="D9" s="378"/>
      <c r="E9" s="378"/>
      <c r="F9" s="378"/>
    </row>
    <row r="10" spans="1:6" ht="18">
      <c r="A10" s="388" t="s">
        <v>351</v>
      </c>
      <c r="B10" s="378"/>
      <c r="C10" s="378"/>
      <c r="D10" s="378"/>
      <c r="E10" s="378"/>
      <c r="F10" s="378"/>
    </row>
    <row r="11" spans="1:6" ht="15">
      <c r="A11" s="378"/>
      <c r="B11" s="378"/>
      <c r="C11" s="378"/>
      <c r="D11" s="378"/>
      <c r="E11" s="378"/>
      <c r="F11" s="378"/>
    </row>
    <row r="12" spans="1:6" ht="15">
      <c r="A12" s="388" t="s">
        <v>353</v>
      </c>
      <c r="B12" s="378"/>
      <c r="C12" s="378"/>
      <c r="D12" s="378"/>
      <c r="E12" s="378"/>
      <c r="F12" s="378"/>
    </row>
    <row r="13" spans="1:6" ht="15">
      <c r="A13" s="390" t="s">
        <v>378</v>
      </c>
      <c r="B13" s="378"/>
      <c r="C13" s="378"/>
      <c r="D13" s="378"/>
      <c r="E13" s="378"/>
      <c r="F13" s="378"/>
    </row>
    <row r="14" spans="1:6" ht="15">
      <c r="A14" s="381" t="s">
        <v>289</v>
      </c>
      <c r="B14" s="378"/>
      <c r="C14" s="378"/>
      <c r="D14" s="378"/>
      <c r="E14" s="378"/>
      <c r="F14" s="378"/>
    </row>
    <row r="15" spans="1:6" ht="18">
      <c r="A15" s="382" t="s">
        <v>290</v>
      </c>
      <c r="B15" s="378"/>
      <c r="C15" s="378"/>
      <c r="D15" s="378"/>
      <c r="E15" s="378"/>
      <c r="F15" s="378"/>
    </row>
    <row r="16" spans="1:6" ht="15">
      <c r="A16" s="378"/>
      <c r="B16" s="378"/>
      <c r="C16" s="378"/>
      <c r="D16" s="378"/>
      <c r="E16" s="378"/>
      <c r="F16" s="378"/>
    </row>
    <row r="17" spans="1:6" ht="15">
      <c r="A17" s="381" t="s">
        <v>291</v>
      </c>
      <c r="B17" s="378"/>
      <c r="C17" s="378"/>
      <c r="D17" s="378"/>
      <c r="E17" s="378"/>
      <c r="F17" s="378"/>
    </row>
    <row r="18" spans="1:6" ht="15">
      <c r="A18" s="378"/>
      <c r="B18" s="378"/>
      <c r="C18" s="378"/>
      <c r="D18" s="378"/>
      <c r="E18" s="378"/>
      <c r="F18" s="378"/>
    </row>
    <row r="19" spans="1:6" ht="15">
      <c r="A19" s="388" t="s">
        <v>379</v>
      </c>
      <c r="B19" s="378"/>
      <c r="C19" s="378"/>
      <c r="D19" s="378"/>
      <c r="E19" s="378"/>
      <c r="F19" s="378"/>
    </row>
    <row r="20" spans="1:6" ht="15">
      <c r="A20" s="378"/>
      <c r="B20" s="378"/>
      <c r="C20" s="378"/>
      <c r="D20" s="378"/>
      <c r="E20" s="378"/>
      <c r="F20" s="378"/>
    </row>
    <row r="21" spans="1:6" ht="15">
      <c r="A21" s="381" t="s">
        <v>292</v>
      </c>
      <c r="B21" s="378"/>
      <c r="C21" s="378"/>
      <c r="D21" s="378"/>
      <c r="E21" s="378"/>
      <c r="F21" s="378"/>
    </row>
    <row r="22" spans="1:6" ht="15">
      <c r="A22" s="378"/>
      <c r="B22" s="378"/>
      <c r="C22" s="378"/>
      <c r="D22" s="378"/>
      <c r="E22" s="378"/>
      <c r="F22" s="378"/>
    </row>
    <row r="23" spans="1:6" ht="15">
      <c r="A23" s="388" t="s">
        <v>293</v>
      </c>
      <c r="B23" s="378"/>
      <c r="C23" s="378"/>
      <c r="D23" s="378"/>
      <c r="E23" s="378"/>
      <c r="F23" s="378"/>
    </row>
    <row r="24" spans="1:6" ht="15">
      <c r="A24" s="378"/>
      <c r="B24" s="378"/>
      <c r="C24" s="378"/>
      <c r="D24" s="378"/>
      <c r="E24" s="378"/>
      <c r="F24" s="378"/>
    </row>
    <row r="25" spans="1:6" ht="15">
      <c r="A25" s="388" t="s">
        <v>380</v>
      </c>
      <c r="B25" s="378"/>
      <c r="C25" s="378"/>
      <c r="D25" s="378"/>
      <c r="E25" s="390"/>
      <c r="F25" s="390"/>
    </row>
    <row r="26" spans="1:6" ht="15">
      <c r="A26" s="378"/>
      <c r="B26" s="378"/>
      <c r="C26" s="378"/>
      <c r="D26" s="378"/>
      <c r="E26" s="390"/>
      <c r="F26" s="390"/>
    </row>
    <row r="27" spans="1:6" ht="15">
      <c r="A27" s="381" t="s">
        <v>294</v>
      </c>
      <c r="B27" s="378"/>
      <c r="C27" s="378"/>
      <c r="D27" s="378"/>
      <c r="E27" s="378"/>
      <c r="F27" s="378"/>
    </row>
    <row r="28" spans="1:6" ht="15">
      <c r="A28" s="378"/>
      <c r="B28" s="378"/>
      <c r="C28" s="378"/>
      <c r="D28" s="378"/>
      <c r="E28" s="378"/>
      <c r="F28" s="378"/>
    </row>
    <row r="29" spans="1:6" ht="15">
      <c r="A29" s="388" t="s">
        <v>381</v>
      </c>
      <c r="B29" s="378"/>
      <c r="C29" s="378"/>
      <c r="D29" s="378"/>
      <c r="E29" s="378"/>
      <c r="F29" s="378"/>
    </row>
    <row r="30" spans="1:6" ht="15">
      <c r="A30" s="378"/>
      <c r="B30" s="378"/>
      <c r="C30" s="378"/>
      <c r="D30" s="378"/>
      <c r="E30" s="378"/>
      <c r="F30" s="378"/>
    </row>
    <row r="31" spans="1:6" ht="15">
      <c r="A31" s="381" t="s">
        <v>295</v>
      </c>
      <c r="B31" s="378"/>
      <c r="C31" s="378"/>
      <c r="D31" s="378"/>
      <c r="E31" s="378"/>
      <c r="F31" s="378"/>
    </row>
    <row r="32" spans="1:6" ht="15">
      <c r="A32" s="378"/>
      <c r="B32" s="378"/>
      <c r="C32" s="378"/>
      <c r="D32" s="378"/>
      <c r="E32" s="378"/>
      <c r="F32" s="378"/>
    </row>
    <row r="33" spans="1:6" ht="15">
      <c r="A33" s="388" t="s">
        <v>296</v>
      </c>
      <c r="B33" s="378"/>
      <c r="C33" s="378"/>
      <c r="D33" s="378"/>
      <c r="E33" s="378"/>
      <c r="F33" s="378"/>
    </row>
    <row r="34" spans="1:6" ht="15">
      <c r="A34" s="378"/>
      <c r="B34" s="378"/>
      <c r="C34" s="378"/>
      <c r="D34" s="378"/>
      <c r="E34" s="378"/>
      <c r="F34" s="378"/>
    </row>
    <row r="35" spans="1:6" ht="15">
      <c r="A35" s="381" t="s">
        <v>297</v>
      </c>
      <c r="B35" s="378"/>
      <c r="C35" s="378"/>
      <c r="D35" s="378"/>
      <c r="E35" s="378"/>
      <c r="F35" s="378"/>
    </row>
    <row r="36" spans="1:6" ht="15">
      <c r="A36" s="378"/>
      <c r="B36" s="378"/>
      <c r="C36" s="378"/>
      <c r="D36" s="378"/>
      <c r="E36" s="378"/>
      <c r="F36" s="378"/>
    </row>
    <row r="37" spans="1:6" ht="15">
      <c r="A37" s="388" t="s">
        <v>382</v>
      </c>
      <c r="B37" s="378"/>
      <c r="C37" s="378"/>
      <c r="D37" s="378"/>
      <c r="E37" s="378"/>
      <c r="F37" s="378"/>
    </row>
    <row r="38" spans="1:6" ht="15">
      <c r="A38" s="378"/>
      <c r="B38" s="378"/>
      <c r="C38" s="378"/>
      <c r="D38" s="378"/>
      <c r="E38" s="378"/>
      <c r="F38" s="378"/>
    </row>
    <row r="39" spans="1:6" ht="15">
      <c r="A39" s="388" t="s">
        <v>383</v>
      </c>
      <c r="B39" s="378"/>
      <c r="C39" s="378"/>
      <c r="D39" s="378"/>
      <c r="E39" s="378"/>
      <c r="F39" s="378"/>
    </row>
    <row r="40" spans="1:6" ht="15">
      <c r="A40" s="381" t="s">
        <v>298</v>
      </c>
      <c r="B40" s="378"/>
      <c r="C40" s="378"/>
      <c r="D40" s="378"/>
      <c r="E40" s="378"/>
      <c r="F40" s="378"/>
    </row>
    <row r="41" spans="1:6" ht="15">
      <c r="A41" s="381" t="s">
        <v>344</v>
      </c>
      <c r="B41" s="378"/>
      <c r="C41" s="378"/>
      <c r="D41" s="378"/>
      <c r="E41" s="378"/>
      <c r="F41" s="378"/>
    </row>
    <row r="42" spans="1:6" ht="15">
      <c r="A42" s="378"/>
      <c r="B42" s="378"/>
      <c r="C42" s="378"/>
      <c r="D42" s="378"/>
      <c r="E42" s="378"/>
      <c r="F42" s="378"/>
    </row>
    <row r="43" spans="1:6" ht="15">
      <c r="A43" s="388" t="s">
        <v>384</v>
      </c>
      <c r="B43" s="378"/>
      <c r="C43" s="378"/>
      <c r="D43" s="378"/>
      <c r="E43" s="378"/>
      <c r="F43" s="378"/>
    </row>
    <row r="44" spans="1:6" ht="15">
      <c r="A44" s="378"/>
      <c r="B44" s="378"/>
      <c r="C44" s="378"/>
      <c r="D44" s="378"/>
      <c r="E44" s="378"/>
      <c r="F44" s="378"/>
    </row>
    <row r="45" spans="1:6" ht="15">
      <c r="A45" s="378"/>
      <c r="B45" s="378"/>
      <c r="C45" s="378"/>
      <c r="D45" s="378"/>
      <c r="E45" s="378"/>
      <c r="F45" s="378"/>
    </row>
    <row r="46" spans="1:6" ht="18">
      <c r="A46" s="382" t="s">
        <v>299</v>
      </c>
      <c r="B46" s="378"/>
      <c r="C46" s="378"/>
      <c r="D46" s="378"/>
      <c r="E46" s="378"/>
      <c r="F46" s="378"/>
    </row>
    <row r="47" spans="1:6" ht="15">
      <c r="A47" s="381" t="s">
        <v>288</v>
      </c>
      <c r="B47" s="378"/>
      <c r="C47" s="378"/>
      <c r="D47" s="378"/>
      <c r="E47" s="378"/>
      <c r="F47" s="378"/>
    </row>
    <row r="48" spans="1:6" ht="15">
      <c r="A48" s="388" t="s">
        <v>385</v>
      </c>
      <c r="B48" s="378"/>
      <c r="C48" s="378"/>
      <c r="D48" s="378"/>
      <c r="E48" s="378"/>
      <c r="F48" s="378"/>
    </row>
    <row r="49" spans="1:6" ht="15">
      <c r="A49" s="378"/>
      <c r="B49" s="378"/>
      <c r="C49" s="378"/>
      <c r="D49" s="378"/>
      <c r="E49" s="378"/>
      <c r="F49" s="378"/>
    </row>
    <row r="50" spans="1:6" ht="15">
      <c r="A50" s="381" t="s">
        <v>300</v>
      </c>
      <c r="B50" s="378"/>
      <c r="C50" s="378"/>
      <c r="D50" s="378"/>
      <c r="E50" s="378"/>
      <c r="F50" s="378"/>
    </row>
    <row r="51" spans="1:6" ht="15">
      <c r="A51" s="388" t="s">
        <v>386</v>
      </c>
      <c r="B51" s="378"/>
      <c r="C51" s="378"/>
      <c r="D51" s="378"/>
      <c r="E51" s="378"/>
      <c r="F51" s="378"/>
    </row>
    <row r="52" spans="1:6" ht="15">
      <c r="A52" s="388"/>
      <c r="B52" s="378"/>
      <c r="C52" s="378"/>
      <c r="D52" s="378"/>
      <c r="E52" s="378"/>
      <c r="F52" s="378"/>
    </row>
    <row r="53" spans="1:6" ht="15">
      <c r="A53" s="390" t="s">
        <v>231</v>
      </c>
      <c r="B53" s="378"/>
      <c r="C53" s="378"/>
      <c r="D53" s="378"/>
      <c r="E53" s="378"/>
      <c r="F53" s="378"/>
    </row>
    <row r="54" spans="1:6" ht="15">
      <c r="A54" s="390"/>
      <c r="B54" s="378"/>
      <c r="C54" s="378"/>
      <c r="D54" s="378"/>
      <c r="E54" s="378"/>
      <c r="F54" s="378"/>
    </row>
    <row r="55" spans="1:6" ht="15">
      <c r="A55" s="381" t="s">
        <v>301</v>
      </c>
      <c r="B55" s="378"/>
      <c r="C55" s="378"/>
      <c r="D55" s="378"/>
      <c r="E55" s="378"/>
      <c r="F55" s="378"/>
    </row>
    <row r="56" spans="1:6" ht="15">
      <c r="A56" s="378"/>
      <c r="B56" s="378"/>
      <c r="C56" s="378"/>
      <c r="D56" s="378"/>
      <c r="E56" s="378"/>
      <c r="F56" s="378"/>
    </row>
    <row r="57" spans="1:6" ht="15">
      <c r="A57" s="388" t="s">
        <v>352</v>
      </c>
      <c r="B57" s="378"/>
      <c r="C57" s="378"/>
      <c r="D57" s="378"/>
      <c r="E57" s="378"/>
      <c r="F57" s="378"/>
    </row>
    <row r="58" spans="1:6" ht="15">
      <c r="A58" s="378"/>
      <c r="B58" s="378"/>
      <c r="C58" s="378"/>
      <c r="D58" s="378"/>
      <c r="E58" s="378"/>
      <c r="F58" s="378"/>
    </row>
    <row r="59" spans="1:6" ht="15">
      <c r="A59" s="381" t="s">
        <v>302</v>
      </c>
      <c r="B59" s="378"/>
      <c r="C59" s="378"/>
      <c r="D59" s="378"/>
      <c r="E59" s="378"/>
      <c r="F59" s="378"/>
    </row>
    <row r="60" spans="1:6" ht="15">
      <c r="A60" s="378"/>
      <c r="B60" s="378"/>
      <c r="C60" s="378"/>
      <c r="D60" s="378"/>
      <c r="E60" s="378"/>
      <c r="F60" s="378"/>
    </row>
    <row r="61" spans="1:6" ht="15">
      <c r="A61" s="381" t="s">
        <v>303</v>
      </c>
      <c r="B61" s="378"/>
      <c r="C61" s="378"/>
      <c r="D61" s="378"/>
      <c r="E61" s="378"/>
      <c r="F61" s="378"/>
    </row>
    <row r="62" spans="1:6" ht="15">
      <c r="A62" s="378"/>
      <c r="B62" s="378"/>
      <c r="C62" s="378"/>
      <c r="D62" s="378"/>
      <c r="E62" s="378"/>
      <c r="F62" s="378"/>
    </row>
    <row r="63" spans="1:6" ht="15">
      <c r="A63" s="388" t="s">
        <v>349</v>
      </c>
      <c r="B63" s="378"/>
      <c r="C63" s="378"/>
      <c r="D63" s="378"/>
      <c r="E63" s="378"/>
      <c r="F63" s="378"/>
    </row>
    <row r="64" spans="1:6" ht="15">
      <c r="A64" s="378"/>
      <c r="B64" s="378"/>
      <c r="C64" s="378"/>
      <c r="D64" s="378"/>
      <c r="E64" s="378"/>
      <c r="F64" s="378"/>
    </row>
    <row r="65" spans="1:6" ht="15">
      <c r="A65" s="388" t="s">
        <v>359</v>
      </c>
      <c r="B65" s="378"/>
      <c r="C65" s="378"/>
      <c r="D65" s="378"/>
      <c r="E65" s="378"/>
      <c r="F65" s="378"/>
    </row>
    <row r="66" spans="1:6" ht="15">
      <c r="A66" s="378"/>
      <c r="B66" s="378"/>
      <c r="C66" s="378"/>
      <c r="D66" s="378"/>
      <c r="E66" s="378"/>
      <c r="F66" s="378"/>
    </row>
    <row r="67" spans="1:6" ht="15">
      <c r="A67" s="381" t="s">
        <v>304</v>
      </c>
      <c r="B67" s="378"/>
      <c r="C67" s="378"/>
      <c r="D67" s="378"/>
      <c r="E67" s="378"/>
      <c r="F67" s="378"/>
    </row>
    <row r="68" spans="1:6" ht="15">
      <c r="A68" s="388" t="s">
        <v>354</v>
      </c>
      <c r="B68" s="378"/>
      <c r="C68" s="378"/>
      <c r="D68" s="378"/>
      <c r="E68" s="378"/>
      <c r="F68" s="378"/>
    </row>
    <row r="69" spans="1:6" ht="15">
      <c r="A69" s="378"/>
      <c r="B69" s="378"/>
      <c r="C69" s="378"/>
      <c r="D69" s="378"/>
      <c r="E69" s="378"/>
      <c r="F69" s="378"/>
    </row>
    <row r="70" spans="1:6" ht="15">
      <c r="A70" s="388" t="s">
        <v>355</v>
      </c>
      <c r="B70" s="378"/>
      <c r="C70" s="378"/>
      <c r="D70" s="378"/>
      <c r="E70" s="378"/>
      <c r="F70" s="378"/>
    </row>
    <row r="71" spans="1:6" ht="18">
      <c r="A71" s="388" t="s">
        <v>356</v>
      </c>
      <c r="B71" s="378"/>
      <c r="C71" s="378"/>
      <c r="D71" s="378"/>
      <c r="E71" s="378"/>
      <c r="F71" s="378"/>
    </row>
    <row r="72" spans="1:6" ht="15">
      <c r="A72" s="388"/>
      <c r="B72" s="378"/>
      <c r="C72" s="378"/>
      <c r="D72" s="378"/>
      <c r="E72" s="378"/>
      <c r="F72" s="378"/>
    </row>
    <row r="73" spans="1:6" ht="18">
      <c r="A73" s="390" t="s">
        <v>409</v>
      </c>
      <c r="B73" s="378"/>
      <c r="C73" s="378"/>
      <c r="D73" s="378"/>
      <c r="E73" s="378"/>
      <c r="F73" s="378"/>
    </row>
    <row r="74" spans="1:6" ht="18">
      <c r="A74" s="388" t="s">
        <v>357</v>
      </c>
      <c r="B74" s="378"/>
      <c r="C74" s="378"/>
      <c r="D74" s="378"/>
      <c r="E74" s="378"/>
      <c r="F74" s="378"/>
    </row>
    <row r="75" spans="1:6" ht="15">
      <c r="A75" s="378"/>
      <c r="B75" s="378"/>
      <c r="C75" s="378"/>
      <c r="D75" s="378"/>
      <c r="E75" s="378"/>
      <c r="F75" s="378"/>
    </row>
    <row r="76" spans="1:6" ht="18">
      <c r="A76" s="382" t="s">
        <v>345</v>
      </c>
      <c r="B76" s="378"/>
      <c r="C76" s="378"/>
      <c r="D76" s="378"/>
      <c r="E76" s="378"/>
      <c r="F76" s="378"/>
    </row>
    <row r="77" spans="1:6" ht="15">
      <c r="A77" s="378"/>
      <c r="B77" s="378"/>
      <c r="C77" s="378"/>
      <c r="D77" s="378"/>
      <c r="E77" s="378"/>
      <c r="F77" s="378"/>
    </row>
    <row r="78" spans="1:6" ht="15">
      <c r="A78" s="388" t="s">
        <v>387</v>
      </c>
      <c r="B78" s="378"/>
      <c r="C78" s="378"/>
      <c r="D78" s="378"/>
      <c r="E78" s="378"/>
      <c r="F78" s="378"/>
    </row>
    <row r="79" spans="1:6" ht="15">
      <c r="A79" s="378"/>
      <c r="B79" s="378"/>
      <c r="C79" s="378"/>
      <c r="D79" s="378"/>
      <c r="E79" s="378"/>
      <c r="F79" s="378"/>
    </row>
    <row r="80" spans="1:6" ht="15">
      <c r="A80" s="388" t="s">
        <v>388</v>
      </c>
      <c r="B80" s="378"/>
      <c r="C80" s="378"/>
      <c r="D80" s="378"/>
      <c r="E80" s="378"/>
      <c r="F80" s="378"/>
    </row>
    <row r="81" spans="1:6" ht="15">
      <c r="A81" s="378"/>
      <c r="B81" s="378"/>
      <c r="C81" s="378"/>
      <c r="D81" s="378"/>
      <c r="E81" s="378"/>
      <c r="F81" s="378"/>
    </row>
    <row r="82" spans="1:6" ht="15">
      <c r="A82" s="381" t="s">
        <v>288</v>
      </c>
      <c r="B82" s="378"/>
      <c r="C82" s="378"/>
      <c r="D82" s="378"/>
      <c r="E82" s="378"/>
      <c r="F82" s="378"/>
    </row>
    <row r="83" spans="1:6" ht="19.5">
      <c r="A83" s="384" t="s">
        <v>350</v>
      </c>
      <c r="B83" s="378"/>
      <c r="C83" s="378"/>
      <c r="D83" s="378"/>
      <c r="E83" s="378"/>
      <c r="F83" s="378"/>
    </row>
    <row r="84" spans="1:6" ht="15">
      <c r="A84" s="378"/>
      <c r="B84" s="378"/>
      <c r="C84" s="378"/>
      <c r="D84" s="378"/>
      <c r="E84" s="378"/>
      <c r="F84" s="378"/>
    </row>
    <row r="85" spans="1:6" ht="15">
      <c r="A85" s="389" t="s">
        <v>305</v>
      </c>
      <c r="B85" s="378"/>
      <c r="C85" s="378"/>
      <c r="D85" s="378"/>
      <c r="E85" s="378"/>
      <c r="F85" s="378"/>
    </row>
    <row r="86" spans="1:6" ht="15">
      <c r="A86" s="390" t="s">
        <v>361</v>
      </c>
      <c r="B86" s="378"/>
      <c r="C86" s="378"/>
      <c r="D86" s="378"/>
      <c r="E86" s="378"/>
      <c r="F86" s="378"/>
    </row>
    <row r="87" spans="1:6" ht="15">
      <c r="A87" s="390"/>
      <c r="B87" s="378"/>
      <c r="C87" s="378"/>
      <c r="D87" s="378"/>
      <c r="E87" s="378"/>
      <c r="F87" s="378"/>
    </row>
    <row r="88" spans="1:6" ht="15">
      <c r="A88" s="388" t="s">
        <v>358</v>
      </c>
      <c r="B88" s="378"/>
      <c r="C88" s="378"/>
      <c r="D88" s="378"/>
      <c r="E88" s="378"/>
      <c r="F88" s="378"/>
    </row>
    <row r="89" spans="1:6" ht="15">
      <c r="A89" s="378"/>
      <c r="B89" s="378"/>
      <c r="C89" s="378"/>
      <c r="D89" s="378"/>
      <c r="E89" s="378"/>
      <c r="F89" s="378"/>
    </row>
    <row r="90" spans="1:6" ht="15">
      <c r="A90" s="388" t="s">
        <v>389</v>
      </c>
      <c r="B90" s="378"/>
      <c r="C90" s="378"/>
      <c r="D90" s="378"/>
      <c r="E90" s="378"/>
      <c r="F90" s="378"/>
    </row>
    <row r="91" spans="1:6" ht="15">
      <c r="A91" s="388" t="s">
        <v>390</v>
      </c>
      <c r="B91" s="378"/>
      <c r="C91" s="378"/>
      <c r="D91" s="378"/>
      <c r="E91" s="378"/>
      <c r="F91" s="378"/>
    </row>
    <row r="92" spans="1:6" ht="15">
      <c r="A92" s="381" t="s">
        <v>306</v>
      </c>
      <c r="B92" s="378"/>
      <c r="C92" s="378"/>
      <c r="D92" s="378"/>
      <c r="E92" s="378"/>
      <c r="F92" s="378"/>
    </row>
    <row r="93" spans="1:6" ht="15">
      <c r="A93" s="388" t="s">
        <v>360</v>
      </c>
      <c r="B93" s="378"/>
      <c r="C93" s="378"/>
      <c r="D93" s="378"/>
      <c r="E93" s="378"/>
      <c r="F93" s="378"/>
    </row>
    <row r="94" spans="1:6" ht="15">
      <c r="A94" s="388" t="s">
        <v>362</v>
      </c>
      <c r="B94" s="378"/>
      <c r="C94" s="378"/>
      <c r="D94" s="378"/>
      <c r="E94" s="378"/>
      <c r="F94" s="378"/>
    </row>
    <row r="95" spans="1:6" ht="15">
      <c r="A95" s="381"/>
      <c r="B95" s="378"/>
      <c r="C95" s="378"/>
      <c r="D95" s="378"/>
      <c r="E95" s="378"/>
      <c r="F95" s="378"/>
    </row>
    <row r="96" spans="1:6" ht="15">
      <c r="A96" s="378"/>
      <c r="B96" s="378"/>
      <c r="C96" s="378"/>
      <c r="D96" s="378"/>
      <c r="E96" s="378"/>
      <c r="F96" s="378"/>
    </row>
    <row r="97" spans="1:6" ht="15">
      <c r="A97" s="386" t="s">
        <v>307</v>
      </c>
      <c r="B97" s="378"/>
      <c r="C97" s="378"/>
      <c r="D97" s="378"/>
      <c r="E97" s="378"/>
      <c r="F97" s="378"/>
    </row>
    <row r="98" spans="1:6" ht="15">
      <c r="A98" s="381"/>
      <c r="B98" s="378"/>
      <c r="C98" s="378"/>
      <c r="D98" s="378"/>
      <c r="E98" s="378"/>
      <c r="F98" s="378"/>
    </row>
    <row r="99" spans="1:6" ht="15">
      <c r="A99" s="381" t="s">
        <v>308</v>
      </c>
      <c r="B99" s="378"/>
      <c r="C99" s="390" t="s">
        <v>391</v>
      </c>
      <c r="D99" s="378"/>
      <c r="E99" s="378"/>
      <c r="F99" s="378"/>
    </row>
    <row r="100" spans="1:6" ht="15">
      <c r="A100" s="378"/>
      <c r="B100" s="378"/>
      <c r="C100" s="378"/>
      <c r="D100" s="378"/>
      <c r="E100" s="378"/>
      <c r="F100" s="378"/>
    </row>
    <row r="101" spans="1:6" ht="15">
      <c r="A101" s="381" t="s">
        <v>309</v>
      </c>
      <c r="B101" s="378"/>
      <c r="C101" s="378"/>
      <c r="D101" s="378"/>
      <c r="E101" s="378"/>
      <c r="F101" s="378"/>
    </row>
    <row r="102" spans="1:6" ht="15">
      <c r="A102" s="388" t="s">
        <v>363</v>
      </c>
      <c r="B102" s="378"/>
      <c r="C102" s="378"/>
      <c r="D102" s="378"/>
      <c r="E102" s="378"/>
      <c r="F102" s="378"/>
    </row>
    <row r="103" spans="1:6" ht="15">
      <c r="A103" s="388" t="s">
        <v>364</v>
      </c>
      <c r="B103" s="378"/>
      <c r="C103" s="378"/>
      <c r="D103" s="378"/>
      <c r="E103" s="378"/>
      <c r="F103" s="378"/>
    </row>
    <row r="104" spans="1:6" ht="15">
      <c r="A104" s="378"/>
      <c r="B104" s="378"/>
      <c r="C104" s="378"/>
      <c r="D104" s="378"/>
      <c r="E104" s="378"/>
      <c r="F104" s="378"/>
    </row>
    <row r="105" spans="1:6" ht="15">
      <c r="A105" s="388" t="s">
        <v>392</v>
      </c>
      <c r="B105" s="378"/>
      <c r="C105" s="378"/>
      <c r="D105" s="378"/>
      <c r="E105" s="378"/>
      <c r="F105" s="378"/>
    </row>
    <row r="106" spans="1:6" ht="15">
      <c r="A106" s="378"/>
      <c r="B106" s="378"/>
      <c r="C106" s="378"/>
      <c r="D106" s="378"/>
      <c r="E106" s="378"/>
      <c r="F106" s="378"/>
    </row>
    <row r="107" spans="1:6" ht="15">
      <c r="A107" s="378"/>
      <c r="B107" s="378"/>
      <c r="C107" s="378"/>
      <c r="D107" s="378"/>
      <c r="E107" s="378"/>
      <c r="F107" s="378"/>
    </row>
    <row r="108" spans="1:6" ht="15">
      <c r="A108" s="386" t="s">
        <v>365</v>
      </c>
      <c r="B108" s="378"/>
      <c r="C108" s="378"/>
      <c r="D108" s="378"/>
      <c r="E108" s="378"/>
      <c r="F108" s="378"/>
    </row>
    <row r="109" spans="1:6" ht="15">
      <c r="A109" s="378"/>
      <c r="B109" s="378"/>
      <c r="C109" s="378"/>
      <c r="D109" s="378"/>
      <c r="E109" s="378"/>
      <c r="F109" s="378"/>
    </row>
    <row r="110" spans="1:6" ht="15">
      <c r="A110" s="388" t="s">
        <v>393</v>
      </c>
      <c r="B110" s="378"/>
      <c r="C110" s="378"/>
      <c r="D110" s="378"/>
      <c r="E110" s="378"/>
      <c r="F110" s="378"/>
    </row>
    <row r="111" spans="1:6" ht="15">
      <c r="A111" s="378"/>
      <c r="B111" s="378"/>
      <c r="C111" s="378"/>
      <c r="D111" s="378"/>
      <c r="E111" s="378"/>
      <c r="F111" s="378"/>
    </row>
    <row r="112" spans="1:6" ht="15">
      <c r="A112" s="388" t="s">
        <v>366</v>
      </c>
      <c r="B112" s="378"/>
      <c r="C112" s="378"/>
      <c r="D112" s="378"/>
      <c r="E112" s="378"/>
      <c r="F112" s="378"/>
    </row>
    <row r="113" spans="1:6" ht="15">
      <c r="A113" s="391" t="s">
        <v>367</v>
      </c>
      <c r="B113" s="378"/>
      <c r="C113" s="378"/>
      <c r="D113" s="378"/>
      <c r="E113" s="378"/>
      <c r="F113" s="378"/>
    </row>
    <row r="114" spans="1:6" ht="15">
      <c r="A114" s="378"/>
      <c r="B114" s="378"/>
      <c r="C114" s="378"/>
      <c r="D114" s="378"/>
      <c r="E114" s="378"/>
      <c r="F114" s="378"/>
    </row>
    <row r="115" spans="1:6" ht="15">
      <c r="A115" s="388" t="s">
        <v>368</v>
      </c>
      <c r="B115" s="378"/>
      <c r="C115" s="378"/>
      <c r="D115" s="378"/>
      <c r="E115" s="378"/>
      <c r="F115" s="378"/>
    </row>
    <row r="116" spans="1:6" ht="15">
      <c r="A116" s="378"/>
      <c r="B116" s="378"/>
      <c r="C116" s="378"/>
      <c r="D116" s="378"/>
      <c r="E116" s="378"/>
      <c r="F116" s="378"/>
    </row>
    <row r="117" spans="1:6" s="403" customFormat="1" ht="15">
      <c r="A117" s="401" t="s">
        <v>394</v>
      </c>
      <c r="B117" s="402"/>
      <c r="C117" s="402"/>
      <c r="D117" s="402"/>
      <c r="E117" s="402"/>
      <c r="F117" s="402"/>
    </row>
    <row r="118" spans="1:6" s="403" customFormat="1" ht="15">
      <c r="A118" s="401"/>
      <c r="B118" s="402"/>
      <c r="C118" s="402"/>
      <c r="D118" s="402"/>
      <c r="E118" s="402"/>
      <c r="F118" s="402"/>
    </row>
    <row r="119" spans="1:6" s="403" customFormat="1" ht="15">
      <c r="A119" s="401" t="s">
        <v>395</v>
      </c>
      <c r="B119" s="402"/>
      <c r="C119" s="402"/>
      <c r="D119" s="402"/>
      <c r="E119" s="402"/>
      <c r="F119" s="402"/>
    </row>
    <row r="120" spans="1:6" s="403" customFormat="1" ht="15">
      <c r="A120" s="401" t="s">
        <v>396</v>
      </c>
      <c r="B120" s="402"/>
      <c r="C120" s="402"/>
      <c r="D120" s="402"/>
      <c r="E120" s="402"/>
      <c r="F120" s="402"/>
    </row>
    <row r="121" spans="1:6" s="403" customFormat="1" ht="15">
      <c r="A121" s="401" t="s">
        <v>397</v>
      </c>
      <c r="B121" s="402"/>
      <c r="C121" s="402"/>
      <c r="D121" s="402"/>
      <c r="E121" s="402"/>
      <c r="F121" s="402"/>
    </row>
    <row r="122" spans="1:6" s="403" customFormat="1" ht="15">
      <c r="A122" s="401"/>
      <c r="B122" s="402"/>
      <c r="C122" s="402"/>
      <c r="D122" s="402"/>
      <c r="E122" s="402"/>
      <c r="F122" s="402"/>
    </row>
    <row r="123" spans="1:6" s="403" customFormat="1" ht="15">
      <c r="A123" s="404" t="s">
        <v>398</v>
      </c>
      <c r="B123" s="402"/>
      <c r="C123" s="402"/>
      <c r="D123" s="402"/>
      <c r="E123" s="402"/>
      <c r="F123" s="402"/>
    </row>
    <row r="124" spans="1:6" s="403" customFormat="1" ht="15">
      <c r="A124" s="401"/>
      <c r="B124" s="402"/>
      <c r="C124" s="402"/>
      <c r="D124" s="402"/>
      <c r="E124" s="402"/>
      <c r="F124" s="402"/>
    </row>
    <row r="125" spans="1:6" s="403" customFormat="1" ht="19.5">
      <c r="A125" s="401" t="s">
        <v>417</v>
      </c>
      <c r="B125" s="402"/>
      <c r="C125" s="402"/>
      <c r="D125" s="402"/>
      <c r="E125" s="402"/>
      <c r="F125" s="402"/>
    </row>
    <row r="126" spans="1:6" s="403" customFormat="1" ht="15">
      <c r="A126" s="401" t="s">
        <v>418</v>
      </c>
      <c r="B126" s="402"/>
      <c r="C126" s="402"/>
      <c r="D126" s="402"/>
      <c r="E126" s="402"/>
      <c r="F126" s="402"/>
    </row>
    <row r="127" spans="1:6" s="403" customFormat="1" ht="15">
      <c r="A127" s="401"/>
      <c r="B127" s="405" t="s">
        <v>399</v>
      </c>
      <c r="C127" s="402"/>
      <c r="D127" s="402"/>
      <c r="E127" s="402"/>
      <c r="F127" s="402"/>
    </row>
    <row r="128" spans="1:6" s="403" customFormat="1" ht="15">
      <c r="A128" s="401" t="s">
        <v>419</v>
      </c>
      <c r="B128" s="402"/>
      <c r="C128" s="402"/>
      <c r="D128" s="402"/>
      <c r="E128" s="402"/>
      <c r="F128" s="402"/>
    </row>
    <row r="129" spans="1:6" s="403" customFormat="1" ht="15">
      <c r="A129" s="401"/>
      <c r="B129" s="402"/>
      <c r="C129" s="402"/>
      <c r="D129" s="402"/>
      <c r="E129" s="402"/>
      <c r="F129" s="402"/>
    </row>
    <row r="130" spans="1:6" s="403" customFormat="1" ht="15">
      <c r="A130" s="404" t="s">
        <v>343</v>
      </c>
      <c r="B130" s="402"/>
      <c r="C130" s="402"/>
      <c r="D130" s="402"/>
      <c r="E130" s="402"/>
      <c r="F130" s="402"/>
    </row>
    <row r="131" spans="1:6" s="403" customFormat="1" ht="15">
      <c r="A131" s="401"/>
      <c r="B131" s="402"/>
      <c r="C131" s="402"/>
      <c r="D131" s="402"/>
      <c r="E131" s="402"/>
      <c r="F131" s="402"/>
    </row>
    <row r="132" spans="1:6" s="403" customFormat="1" ht="15">
      <c r="A132" s="401" t="s">
        <v>420</v>
      </c>
      <c r="B132" s="402"/>
      <c r="C132" s="402"/>
      <c r="D132" s="402"/>
      <c r="E132" s="402"/>
      <c r="F132" s="402"/>
    </row>
    <row r="133" spans="1:6" s="403" customFormat="1" ht="15">
      <c r="A133" s="401"/>
      <c r="B133" s="402"/>
      <c r="C133" s="402"/>
      <c r="D133" s="402"/>
      <c r="E133" s="402"/>
      <c r="F133" s="402"/>
    </row>
    <row r="134" spans="1:6" ht="15">
      <c r="A134" s="385" t="s">
        <v>310</v>
      </c>
      <c r="B134" s="378"/>
      <c r="C134" s="378"/>
      <c r="D134" s="378"/>
      <c r="E134" s="378"/>
      <c r="F134" s="378"/>
    </row>
    <row r="135" spans="1:6" ht="15">
      <c r="A135" s="385"/>
      <c r="B135" s="378"/>
      <c r="C135" s="378"/>
      <c r="D135" s="378"/>
      <c r="E135" s="378"/>
      <c r="F135" s="378"/>
    </row>
    <row r="136" spans="1:6" ht="15">
      <c r="A136" s="388" t="s">
        <v>369</v>
      </c>
      <c r="B136" s="378"/>
      <c r="C136" s="378"/>
      <c r="D136" s="378"/>
      <c r="E136" s="378"/>
      <c r="F136" s="378"/>
    </row>
    <row r="137" spans="1:6" ht="15">
      <c r="A137" s="378"/>
      <c r="B137" s="378"/>
      <c r="C137" s="378"/>
      <c r="D137" s="378"/>
      <c r="E137" s="378"/>
      <c r="F137" s="378"/>
    </row>
    <row r="138" spans="1:6" ht="15">
      <c r="A138" s="388" t="s">
        <v>400</v>
      </c>
      <c r="B138" s="378"/>
      <c r="C138" s="378"/>
      <c r="D138" s="378"/>
      <c r="E138" s="378"/>
      <c r="F138" s="378"/>
    </row>
    <row r="139" spans="1:6" ht="15">
      <c r="A139" s="381" t="s">
        <v>346</v>
      </c>
      <c r="B139" s="378"/>
      <c r="C139" s="378"/>
      <c r="D139" s="378"/>
      <c r="E139" s="378"/>
      <c r="F139" s="378"/>
    </row>
    <row r="140" spans="1:6" ht="15">
      <c r="A140" s="388" t="s">
        <v>347</v>
      </c>
      <c r="B140" s="378"/>
      <c r="C140" s="378"/>
      <c r="D140" s="378"/>
      <c r="E140" s="378"/>
      <c r="F140" s="378"/>
    </row>
    <row r="141" spans="1:6" ht="15">
      <c r="A141" s="378"/>
      <c r="B141" s="378"/>
      <c r="C141" s="378"/>
      <c r="D141" s="378"/>
      <c r="E141" s="378"/>
      <c r="F141" s="378"/>
    </row>
    <row r="142" spans="1:6" ht="15">
      <c r="A142" s="386" t="s">
        <v>401</v>
      </c>
      <c r="B142" s="378"/>
      <c r="C142" s="378"/>
      <c r="D142" s="378"/>
      <c r="E142" s="378"/>
      <c r="F142" s="378"/>
    </row>
    <row r="143" spans="1:6" ht="15">
      <c r="A143" s="388" t="s">
        <v>402</v>
      </c>
      <c r="B143" s="378"/>
      <c r="C143" s="378"/>
      <c r="D143" s="378"/>
      <c r="E143" s="378"/>
      <c r="F143" s="378"/>
    </row>
    <row r="144" spans="1:6" ht="15">
      <c r="A144" s="378"/>
      <c r="B144" s="378"/>
      <c r="C144" s="378"/>
      <c r="D144" s="378"/>
      <c r="E144" s="378"/>
      <c r="F144" s="378"/>
    </row>
    <row r="145" spans="1:6" ht="15">
      <c r="A145" s="388" t="s">
        <v>403</v>
      </c>
      <c r="B145" s="378"/>
      <c r="C145" s="378"/>
      <c r="D145" s="378"/>
      <c r="E145" s="378"/>
      <c r="F145" s="378"/>
    </row>
    <row r="146" spans="1:6" ht="15">
      <c r="A146" s="378"/>
      <c r="B146" s="378"/>
      <c r="C146" s="378"/>
      <c r="D146" s="378"/>
      <c r="E146" s="378"/>
      <c r="F146" s="378"/>
    </row>
    <row r="147" spans="1:6" ht="15">
      <c r="A147" s="388" t="s">
        <v>404</v>
      </c>
      <c r="B147" s="378"/>
      <c r="C147" s="378"/>
      <c r="D147" s="378"/>
      <c r="E147" s="378"/>
      <c r="F147" s="378"/>
    </row>
    <row r="148" spans="1:6" ht="15">
      <c r="A148" s="378"/>
      <c r="B148" s="378"/>
      <c r="C148" s="378"/>
      <c r="D148" s="378"/>
      <c r="E148" s="378"/>
      <c r="F148" s="378"/>
    </row>
    <row r="149" spans="1:6" ht="15">
      <c r="A149" s="386" t="s">
        <v>343</v>
      </c>
      <c r="B149" s="378"/>
      <c r="C149" s="378"/>
      <c r="D149" s="378"/>
      <c r="E149" s="378"/>
      <c r="F149" s="378"/>
    </row>
    <row r="150" spans="1:6" ht="15">
      <c r="A150" s="378"/>
      <c r="B150" s="378"/>
      <c r="C150" s="378"/>
      <c r="D150" s="378"/>
      <c r="E150" s="378"/>
      <c r="F150" s="378"/>
    </row>
    <row r="151" spans="1:6" ht="19.5">
      <c r="A151" s="388" t="s">
        <v>410</v>
      </c>
      <c r="B151" s="378"/>
      <c r="C151" s="378"/>
      <c r="D151" s="378"/>
      <c r="E151" s="378"/>
      <c r="F151" s="378"/>
    </row>
    <row r="152" spans="1:6" ht="15">
      <c r="A152" s="378"/>
      <c r="B152" s="378"/>
      <c r="C152" s="378"/>
      <c r="D152" s="378"/>
      <c r="E152" s="378"/>
      <c r="F152" s="378"/>
    </row>
    <row r="153" spans="1:6" ht="15">
      <c r="A153" s="388" t="s">
        <v>405</v>
      </c>
      <c r="B153" s="378"/>
      <c r="C153" s="378"/>
      <c r="D153" s="378"/>
      <c r="E153" s="378"/>
      <c r="F153" s="378"/>
    </row>
    <row r="154" spans="1:6" ht="15">
      <c r="A154" s="378"/>
      <c r="B154" s="378"/>
      <c r="C154" s="378"/>
      <c r="D154" s="378"/>
      <c r="E154" s="378"/>
      <c r="F154" s="378"/>
    </row>
    <row r="155" spans="1:6" ht="15">
      <c r="A155" s="388" t="s">
        <v>406</v>
      </c>
      <c r="B155" s="378"/>
      <c r="C155" s="378"/>
      <c r="D155" s="378"/>
      <c r="E155" s="378"/>
      <c r="F155" s="378"/>
    </row>
    <row r="156" spans="1:6" ht="15">
      <c r="A156" s="378"/>
      <c r="B156" s="378"/>
      <c r="C156" s="378"/>
      <c r="D156" s="378"/>
      <c r="E156" s="378"/>
      <c r="F156" s="378"/>
    </row>
    <row r="157" spans="1:6" ht="15">
      <c r="A157" s="386" t="s">
        <v>374</v>
      </c>
      <c r="B157" s="378"/>
      <c r="C157" s="378"/>
      <c r="D157" s="378"/>
      <c r="E157" s="378"/>
      <c r="F157" s="378"/>
    </row>
    <row r="158" spans="1:6" ht="15">
      <c r="A158" s="378"/>
      <c r="B158" s="378"/>
      <c r="C158" s="378"/>
      <c r="D158" s="378"/>
      <c r="E158" s="378"/>
      <c r="F158" s="378"/>
    </row>
    <row r="159" spans="1:6" ht="18">
      <c r="A159" s="388" t="s">
        <v>411</v>
      </c>
      <c r="B159" s="378"/>
      <c r="C159" s="378"/>
      <c r="D159" s="378"/>
      <c r="E159" s="378"/>
      <c r="F159" s="378"/>
    </row>
    <row r="160" spans="1:6" ht="15">
      <c r="A160" s="378"/>
      <c r="B160" s="378"/>
      <c r="C160" s="378"/>
      <c r="D160" s="378"/>
      <c r="E160" s="378"/>
      <c r="F160" s="378"/>
    </row>
    <row r="161" spans="1:6" s="403" customFormat="1" ht="18">
      <c r="A161" s="406" t="s">
        <v>412</v>
      </c>
      <c r="B161" s="402"/>
      <c r="C161" s="402"/>
      <c r="D161" s="402"/>
      <c r="E161" s="402"/>
      <c r="F161" s="402"/>
    </row>
    <row r="162" spans="1:6" ht="18">
      <c r="A162" s="390" t="s">
        <v>413</v>
      </c>
      <c r="B162" s="378"/>
      <c r="C162" s="378"/>
      <c r="D162" s="378"/>
      <c r="E162" s="378"/>
      <c r="F162" s="378"/>
    </row>
    <row r="163" spans="1:6" ht="15">
      <c r="A163" s="390" t="s">
        <v>414</v>
      </c>
      <c r="B163" s="378"/>
      <c r="C163" s="378"/>
      <c r="D163" s="378"/>
      <c r="E163" s="378"/>
      <c r="F163" s="378"/>
    </row>
    <row r="164" spans="1:6" ht="15">
      <c r="A164" s="390"/>
      <c r="B164" s="378"/>
      <c r="C164" s="378"/>
      <c r="D164" s="378"/>
      <c r="E164" s="378"/>
      <c r="F164" s="378"/>
    </row>
    <row r="165" spans="1:6" ht="15">
      <c r="A165" s="407" t="s">
        <v>407</v>
      </c>
      <c r="B165" s="378"/>
      <c r="C165" s="378"/>
      <c r="D165" s="378"/>
      <c r="E165" s="378"/>
      <c r="F165" s="378"/>
    </row>
    <row r="166" spans="1:6" ht="18">
      <c r="A166" s="390" t="s">
        <v>415</v>
      </c>
      <c r="B166" s="378"/>
      <c r="C166" s="378"/>
      <c r="D166" s="378"/>
      <c r="E166" s="378"/>
      <c r="F166" s="378"/>
    </row>
    <row r="167" spans="1:6" ht="15">
      <c r="A167" s="390" t="s">
        <v>416</v>
      </c>
      <c r="B167" s="378"/>
      <c r="C167" s="378"/>
      <c r="D167" s="378"/>
      <c r="E167" s="378"/>
      <c r="F167" s="378"/>
    </row>
    <row r="168" spans="1:6" ht="15">
      <c r="A168" s="390" t="s">
        <v>408</v>
      </c>
      <c r="B168" s="378"/>
      <c r="C168" s="378"/>
      <c r="D168" s="378"/>
      <c r="E168" s="378"/>
      <c r="F168" s="378"/>
    </row>
    <row r="169" spans="1:6" ht="15">
      <c r="A169" s="390"/>
      <c r="B169" s="378"/>
      <c r="C169" s="378"/>
      <c r="D169" s="378"/>
      <c r="E169" s="378"/>
      <c r="F169" s="378"/>
    </row>
    <row r="170" spans="1:6" ht="15">
      <c r="A170" s="390"/>
      <c r="B170" s="378"/>
      <c r="C170" s="378"/>
      <c r="D170" s="378"/>
      <c r="E170" s="378"/>
      <c r="F170" s="378"/>
    </row>
    <row r="171" spans="1:6" ht="15">
      <c r="A171" s="390"/>
      <c r="B171" s="378"/>
      <c r="C171" s="378"/>
      <c r="D171" s="378"/>
      <c r="E171" s="378"/>
      <c r="F171" s="378"/>
    </row>
    <row r="172" spans="1:6" ht="15">
      <c r="A172" s="390"/>
      <c r="B172" s="378"/>
      <c r="C172" s="378"/>
      <c r="D172" s="378"/>
      <c r="E172" s="378"/>
      <c r="F172" s="378"/>
    </row>
    <row r="173" spans="1:6" ht="15">
      <c r="A173" s="390"/>
      <c r="B173" s="378"/>
      <c r="C173" s="378"/>
      <c r="D173" s="378"/>
      <c r="E173" s="378"/>
      <c r="F173" s="378"/>
    </row>
    <row r="174" spans="1:6" ht="15">
      <c r="A174" s="390"/>
      <c r="B174" s="378"/>
      <c r="C174" s="378"/>
      <c r="D174" s="378"/>
      <c r="E174" s="378"/>
      <c r="F174" s="378"/>
    </row>
    <row r="175" spans="1:6" ht="15">
      <c r="A175" s="390"/>
      <c r="B175" s="378"/>
      <c r="C175" s="378"/>
      <c r="D175" s="378"/>
      <c r="E175" s="378"/>
      <c r="F175" s="378"/>
    </row>
    <row r="176" spans="1:6" ht="15">
      <c r="A176" s="390"/>
      <c r="B176" s="378"/>
      <c r="C176" s="378"/>
      <c r="D176" s="378"/>
      <c r="E176" s="378"/>
      <c r="F176" s="378"/>
    </row>
    <row r="177" spans="1:6" ht="15">
      <c r="A177" s="390"/>
      <c r="B177" s="378"/>
      <c r="C177" s="378"/>
      <c r="D177" s="378"/>
      <c r="E177" s="378"/>
      <c r="F177" s="378"/>
    </row>
    <row r="178" spans="1:6" ht="15">
      <c r="A178" s="378"/>
      <c r="B178" s="378"/>
      <c r="C178" s="378"/>
      <c r="D178" s="378"/>
      <c r="E178" s="378"/>
      <c r="F178" s="378"/>
    </row>
    <row r="179" spans="1:6" ht="18">
      <c r="A179" s="382" t="s">
        <v>348</v>
      </c>
      <c r="B179" s="378"/>
      <c r="C179" s="378"/>
      <c r="D179" s="378"/>
      <c r="E179" s="378"/>
      <c r="F179" s="378"/>
    </row>
    <row r="180" spans="1:6" ht="15">
      <c r="A180" s="378"/>
      <c r="B180" s="378"/>
      <c r="C180" s="378"/>
      <c r="D180" s="378"/>
      <c r="E180" s="378"/>
      <c r="F180" s="378"/>
    </row>
    <row r="181" spans="1:6" ht="15">
      <c r="A181" s="386" t="s">
        <v>105</v>
      </c>
      <c r="B181" s="378"/>
      <c r="C181" s="378"/>
      <c r="D181" s="378"/>
      <c r="E181" s="378"/>
      <c r="F181" s="378"/>
    </row>
    <row r="182" spans="1:6" ht="15">
      <c r="A182" s="386" t="s">
        <v>311</v>
      </c>
      <c r="B182" s="378"/>
      <c r="C182" s="378"/>
      <c r="D182" s="378"/>
      <c r="E182" s="378"/>
      <c r="F182" s="378"/>
    </row>
    <row r="183" spans="1:6" ht="15">
      <c r="A183" s="386" t="s">
        <v>312</v>
      </c>
      <c r="B183" s="381" t="s">
        <v>313</v>
      </c>
      <c r="C183" s="378"/>
      <c r="D183" s="378"/>
      <c r="E183" s="378"/>
      <c r="F183" s="378"/>
    </row>
    <row r="184" spans="1:6" ht="15">
      <c r="A184" s="386" t="s">
        <v>314</v>
      </c>
      <c r="B184" s="381" t="s">
        <v>131</v>
      </c>
      <c r="C184" s="378"/>
      <c r="D184" s="378"/>
      <c r="E184" s="378"/>
      <c r="F184" s="378"/>
    </row>
    <row r="185" spans="1:6" ht="15">
      <c r="A185" s="386" t="s">
        <v>315</v>
      </c>
      <c r="B185" s="381" t="s">
        <v>316</v>
      </c>
      <c r="C185" s="378"/>
      <c r="D185" s="378"/>
      <c r="E185" s="378"/>
      <c r="F185" s="378"/>
    </row>
    <row r="186" spans="1:6" ht="15">
      <c r="A186" s="386" t="s">
        <v>317</v>
      </c>
      <c r="B186" s="381" t="s">
        <v>318</v>
      </c>
      <c r="C186" s="378"/>
      <c r="D186" s="378"/>
      <c r="E186" s="378"/>
      <c r="F186" s="378"/>
    </row>
    <row r="187" spans="1:6" ht="15">
      <c r="A187" s="386" t="s">
        <v>319</v>
      </c>
      <c r="B187" s="381" t="s">
        <v>320</v>
      </c>
      <c r="C187" s="378"/>
      <c r="D187" s="378"/>
      <c r="E187" s="378"/>
      <c r="F187" s="378"/>
    </row>
    <row r="188" spans="1:6" ht="15">
      <c r="A188" s="386" t="s">
        <v>321</v>
      </c>
      <c r="B188" s="381" t="s">
        <v>322</v>
      </c>
      <c r="C188" s="378"/>
      <c r="D188" s="378"/>
      <c r="E188" s="378"/>
      <c r="F188" s="378"/>
    </row>
    <row r="189" spans="1:6" ht="15">
      <c r="A189" s="386" t="s">
        <v>115</v>
      </c>
      <c r="B189" s="381" t="s">
        <v>132</v>
      </c>
      <c r="C189" s="378"/>
      <c r="D189" s="378"/>
      <c r="E189" s="378"/>
      <c r="F189" s="378"/>
    </row>
    <row r="190" spans="1:6" ht="15">
      <c r="A190" s="386" t="s">
        <v>323</v>
      </c>
      <c r="B190" s="381" t="s">
        <v>324</v>
      </c>
      <c r="C190" s="378"/>
      <c r="D190" s="378"/>
      <c r="E190" s="378"/>
      <c r="F190" s="378"/>
    </row>
    <row r="191" spans="1:6" ht="15">
      <c r="A191" s="386" t="s">
        <v>116</v>
      </c>
      <c r="B191" s="381" t="s">
        <v>138</v>
      </c>
      <c r="C191" s="378"/>
      <c r="D191" s="378"/>
      <c r="E191" s="378"/>
      <c r="F191" s="378"/>
    </row>
    <row r="192" spans="1:6" ht="15">
      <c r="A192" s="386" t="s">
        <v>325</v>
      </c>
      <c r="B192" s="381" t="s">
        <v>326</v>
      </c>
      <c r="C192" s="378"/>
      <c r="D192" s="378"/>
      <c r="E192" s="378"/>
      <c r="F192" s="378"/>
    </row>
    <row r="193" spans="1:6" ht="15">
      <c r="A193" s="386" t="s">
        <v>327</v>
      </c>
      <c r="B193" s="381" t="s">
        <v>139</v>
      </c>
      <c r="C193" s="378"/>
      <c r="D193" s="378"/>
      <c r="E193" s="378"/>
      <c r="F193" s="378"/>
    </row>
    <row r="194" spans="1:6" ht="15">
      <c r="A194" s="386" t="s">
        <v>328</v>
      </c>
      <c r="B194" s="381" t="s">
        <v>329</v>
      </c>
      <c r="C194" s="378"/>
      <c r="D194" s="378"/>
      <c r="E194" s="378"/>
      <c r="F194" s="378"/>
    </row>
    <row r="195" spans="1:6" ht="15">
      <c r="A195" s="386" t="s">
        <v>330</v>
      </c>
      <c r="B195" s="381" t="s">
        <v>142</v>
      </c>
      <c r="C195" s="378"/>
      <c r="D195" s="378"/>
      <c r="E195" s="378"/>
      <c r="F195" s="378"/>
    </row>
    <row r="196" spans="1:6" ht="15">
      <c r="A196" s="386" t="s">
        <v>331</v>
      </c>
      <c r="B196" s="381" t="s">
        <v>332</v>
      </c>
      <c r="C196" s="378"/>
      <c r="D196" s="378"/>
      <c r="E196" s="378"/>
      <c r="F196" s="378"/>
    </row>
    <row r="197" spans="1:6" ht="15">
      <c r="A197" s="386" t="s">
        <v>370</v>
      </c>
      <c r="B197" s="381" t="s">
        <v>333</v>
      </c>
      <c r="C197" s="378"/>
      <c r="D197" s="378"/>
      <c r="E197" s="378"/>
      <c r="F197" s="378"/>
    </row>
    <row r="198" spans="1:6" ht="15">
      <c r="A198" s="386" t="s">
        <v>371</v>
      </c>
      <c r="B198" s="381" t="s">
        <v>133</v>
      </c>
      <c r="C198" s="378"/>
      <c r="D198" s="378"/>
      <c r="E198" s="378"/>
      <c r="F198" s="378"/>
    </row>
    <row r="199" spans="1:6" ht="15">
      <c r="A199" s="386" t="s">
        <v>372</v>
      </c>
      <c r="B199" s="381" t="s">
        <v>334</v>
      </c>
      <c r="C199" s="378"/>
      <c r="D199" s="378"/>
      <c r="E199" s="378"/>
      <c r="F199" s="378"/>
    </row>
    <row r="200" spans="1:6" ht="15">
      <c r="A200" s="386" t="s">
        <v>373</v>
      </c>
      <c r="B200" s="381" t="s">
        <v>335</v>
      </c>
      <c r="C200" s="378"/>
      <c r="D200" s="378"/>
      <c r="E200" s="378"/>
      <c r="F200" s="378"/>
    </row>
    <row r="201" spans="1:6" ht="15">
      <c r="A201" s="386" t="s">
        <v>336</v>
      </c>
      <c r="B201" s="381" t="s">
        <v>337</v>
      </c>
      <c r="C201" s="378"/>
      <c r="D201" s="378"/>
      <c r="E201" s="378"/>
      <c r="F201" s="378"/>
    </row>
    <row r="202" spans="1:6" ht="15">
      <c r="A202" s="378"/>
      <c r="B202" s="381" t="s">
        <v>338</v>
      </c>
      <c r="C202" s="378"/>
      <c r="D202" s="378"/>
      <c r="E202" s="378"/>
      <c r="F202" s="378"/>
    </row>
    <row r="203" spans="1:6" ht="15">
      <c r="A203" s="378"/>
      <c r="B203" s="381" t="s">
        <v>339</v>
      </c>
      <c r="C203" s="378"/>
      <c r="D203" s="378"/>
      <c r="E203" s="378"/>
      <c r="F203" s="378"/>
    </row>
    <row r="204" spans="2:6" ht="15">
      <c r="B204" s="378"/>
      <c r="C204" s="378"/>
      <c r="D204" s="378"/>
      <c r="E204" s="378"/>
      <c r="F204" s="378"/>
    </row>
    <row r="205" spans="2:6" ht="15">
      <c r="B205" s="378"/>
      <c r="C205" s="378"/>
      <c r="D205" s="378"/>
      <c r="E205" s="378"/>
      <c r="F205" s="378"/>
    </row>
  </sheetData>
  <sheetProtection password="C965" sheet="1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Luis Pc</cp:lastModifiedBy>
  <cp:lastPrinted>2003-04-16T15:20:07Z</cp:lastPrinted>
  <dcterms:created xsi:type="dcterms:W3CDTF">2001-01-03T00:14:13Z</dcterms:created>
  <dcterms:modified xsi:type="dcterms:W3CDTF">2019-10-01T16:15:55Z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